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firstSheet="8" activeTab="8"/>
  </bookViews>
  <sheets>
    <sheet name="черепан з-д" sheetId="1" r:id="rId1"/>
    <sheet name="расчет цен и скидок" sheetId="2" r:id="rId2"/>
    <sheet name="Столица сибири" sheetId="3" r:id="rId3"/>
    <sheet name="расчет цен на теплоизоляц" sheetId="4" r:id="rId4"/>
    <sheet name="бух учет" sheetId="5" r:id="rId5"/>
    <sheet name="для печати скидки" sheetId="6" r:id="rId6"/>
    <sheet name="Лист5" sheetId="7" r:id="rId7"/>
    <sheet name="прайс 250308" sheetId="8" r:id="rId8"/>
    <sheet name="прайс 290609" sheetId="9" r:id="rId9"/>
    <sheet name="Лист1" sheetId="10" r:id="rId10"/>
    <sheet name="Лист2" sheetId="11" r:id="rId11"/>
    <sheet name="Лист3" sheetId="12" r:id="rId12"/>
  </sheets>
  <definedNames>
    <definedName name="_xlnm.Print_Titles" localSheetId="1">'расчет цен и скидок'!$A:$B</definedName>
    <definedName name="_xlnm.Print_Titles" localSheetId="3">'расчет цен на теплоизоляц'!$A:$C</definedName>
  </definedNames>
  <calcPr fullCalcOnLoad="1"/>
</workbook>
</file>

<file path=xl/sharedStrings.xml><?xml version="1.0" encoding="utf-8"?>
<sst xmlns="http://schemas.openxmlformats.org/spreadsheetml/2006/main" count="1193" uniqueCount="461">
  <si>
    <t>Цена за 1 т с НДС без упаковки, руб/т</t>
  </si>
  <si>
    <t>ГОСТ 5040-96, ГОСТ 8691-73</t>
  </si>
  <si>
    <t>Поддоны: 1 поддон:616 шт. - 1,047 т;</t>
  </si>
  <si>
    <t xml:space="preserve">Поддоны: 1 поддон:420 шт. - 0,924 т; </t>
  </si>
  <si>
    <t>КПД-400-И</t>
  </si>
  <si>
    <t>ТУ 5764-002-25310144-99</t>
  </si>
  <si>
    <t>Поддоны: 760 шт -1,52 м3-608 кг</t>
  </si>
  <si>
    <t>Кирпич огнеупорный периклазовый</t>
  </si>
  <si>
    <t>т/шт</t>
  </si>
  <si>
    <t>П-90 №1</t>
  </si>
  <si>
    <t>П-90 №5</t>
  </si>
  <si>
    <t>П-91 №1</t>
  </si>
  <si>
    <t xml:space="preserve"> П-89</t>
  </si>
  <si>
    <t>Кирпич высокоогнеупорный хромитопериклазовый</t>
  </si>
  <si>
    <t>ХП-5 №1</t>
  </si>
  <si>
    <t>Поддоны: 1 поддон:297 шт. - от 1,235т</t>
  </si>
  <si>
    <t xml:space="preserve">Контейнер  МКР 1,0 т; </t>
  </si>
  <si>
    <t>Мешки полипропиленовые  40 кг, 50 кг</t>
  </si>
  <si>
    <t>Мешки бумажные 33 кг, 40 кг, 50 кг</t>
  </si>
  <si>
    <t>Контейнер  МКР 0,8 т; упаковка - в МКР по цене 250 р/МКР, без ндс</t>
  </si>
  <si>
    <t>МШ-39</t>
  </si>
  <si>
    <t>Контейнер  МКР 0,8т; 1,0 т</t>
  </si>
  <si>
    <t xml:space="preserve">Алюмосиликатный  заполнитель с огнеупорностью не ниже 1630˚ С  </t>
  </si>
  <si>
    <t xml:space="preserve">Алюмосиликатный (шамотный) заполнитель с огнеупорностью не ниже 1630˚ С </t>
  </si>
  <si>
    <t>Контейнер  МКР 1,0 т; упаковка - в МКР по цене 200 р/МКР, без ндс</t>
  </si>
  <si>
    <t>ЗШБ кл.1-3 (фр.5-25 мм)</t>
  </si>
  <si>
    <t>ЗШБ кл.4 (фр.0-5)</t>
  </si>
  <si>
    <t>ЗШБ кл.7 (0-0,5 мм)</t>
  </si>
  <si>
    <t xml:space="preserve">Крошка пенодиатомитовая обоженная (максимальная t применения - 900°С) </t>
  </si>
  <si>
    <t>ЗША кл.1-3 (фр.5-25 мм)</t>
  </si>
  <si>
    <t>ЗША кл.4 (фр.0-5)</t>
  </si>
  <si>
    <t>ЗША кл.7 (0-0,5 мм)</t>
  </si>
  <si>
    <t xml:space="preserve">Алюмосиликатный  заполнитель </t>
  </si>
  <si>
    <t>Алюмосиликатный заполнитель</t>
  </si>
  <si>
    <t xml:space="preserve">Алюмосиликатный (шамотный) заполнитель </t>
  </si>
  <si>
    <t>ТУ 5764-003-2531014499</t>
  </si>
  <si>
    <t>Цена зависит от объема поставки</t>
  </si>
  <si>
    <t>Плиты (вес 1 плиты - 15,6 кг)</t>
  </si>
  <si>
    <t>Цемент высокоглиноземистый</t>
  </si>
  <si>
    <t>ВГЦ-50</t>
  </si>
  <si>
    <t>Жидкое стекло (натриевое)</t>
  </si>
  <si>
    <t>канистра по 20 л  (30 кг)</t>
  </si>
  <si>
    <t>канистра по 10л (15 кг)</t>
  </si>
  <si>
    <r>
      <t xml:space="preserve">Помимо широкой номенклатуры представленной в нашем прайсе продукции мы готовы рассмотреть Ваши заявки на поставку прочей огнеупорной продукции.  Ознакомиться с перечнем нашей продукции, узнать ее характеристики и свойства можно на нашем сайте в Интернете: </t>
    </r>
    <r>
      <rPr>
        <b/>
        <sz val="12"/>
        <rFont val="Arial"/>
        <family val="2"/>
      </rPr>
      <t>www.ogneupor-nsk.ru</t>
    </r>
  </si>
  <si>
    <r>
      <t xml:space="preserve">Мертель шамотный </t>
    </r>
    <r>
      <rPr>
        <b/>
        <sz val="12"/>
        <color indexed="18"/>
        <rFont val="Arial"/>
        <family val="2"/>
      </rPr>
      <t>(Температура применения,  максимальная 1650°С)</t>
    </r>
  </si>
  <si>
    <r>
      <t xml:space="preserve">Мертель шамотный </t>
    </r>
    <r>
      <rPr>
        <b/>
        <sz val="12"/>
        <color indexed="18"/>
        <rFont val="Arial"/>
        <family val="2"/>
      </rPr>
      <t>(Температура применения,  максимальная 1690°С)</t>
    </r>
  </si>
  <si>
    <r>
      <t xml:space="preserve">Порошок шамотный молотый </t>
    </r>
    <r>
      <rPr>
        <b/>
        <sz val="12"/>
        <color indexed="56"/>
        <rFont val="Arial"/>
        <family val="2"/>
      </rPr>
      <t>(Температура применения,  максимальная 1670°С)</t>
    </r>
  </si>
  <si>
    <r>
      <t xml:space="preserve">Порошок шамотный молотый </t>
    </r>
    <r>
      <rPr>
        <b/>
        <sz val="12"/>
        <color indexed="18"/>
        <rFont val="Arial"/>
        <family val="2"/>
      </rPr>
      <t>(Температура применения,  максимальная 1670°С)</t>
    </r>
  </si>
  <si>
    <r>
      <t xml:space="preserve">Муллитокремнеземистая вата </t>
    </r>
    <r>
      <rPr>
        <b/>
        <sz val="12"/>
        <color indexed="18"/>
        <rFont val="Arial"/>
        <family val="2"/>
      </rPr>
      <t>(Температура применения,  максимальная 1150°С)</t>
    </r>
  </si>
  <si>
    <r>
      <t xml:space="preserve">Муллитокремнеземистый войлок </t>
    </r>
    <r>
      <rPr>
        <b/>
        <sz val="12"/>
        <color indexed="18"/>
        <rFont val="Arial"/>
        <family val="2"/>
      </rPr>
      <t>(Температура применения,  максимальная 1150°С)</t>
    </r>
  </si>
  <si>
    <r>
      <t xml:space="preserve">Муллитокремнеземистый фетр </t>
    </r>
    <r>
      <rPr>
        <b/>
        <sz val="12"/>
        <color indexed="18"/>
        <rFont val="Arial"/>
        <family val="2"/>
      </rPr>
      <t>(Температура применения,  максимальная 1150°С)</t>
    </r>
  </si>
  <si>
    <r>
      <t xml:space="preserve">Картон гибкий огнеупорный стекловолокнистый  </t>
    </r>
    <r>
      <rPr>
        <b/>
        <sz val="12"/>
        <color indexed="18"/>
        <rFont val="Arial"/>
        <family val="2"/>
      </rPr>
      <t>(Температура применения,  максимальная 1150°С)</t>
    </r>
  </si>
  <si>
    <r>
      <t xml:space="preserve">Плиты огнеупорные теплоизоляционные муллитокремнеземистые </t>
    </r>
    <r>
      <rPr>
        <b/>
        <sz val="12"/>
        <color indexed="18"/>
        <rFont val="Arial"/>
        <family val="2"/>
      </rPr>
      <t>(Температура применения,  максимальная 1150°С)</t>
    </r>
  </si>
  <si>
    <r>
      <t xml:space="preserve">Плиты огнеупорные теплоизоляционные муллитокремнеземистые </t>
    </r>
    <r>
      <rPr>
        <b/>
        <sz val="12"/>
        <color indexed="18"/>
        <rFont val="Arial"/>
        <family val="2"/>
      </rPr>
      <t>(Температура применения,  максимальная 1350°С)</t>
    </r>
  </si>
  <si>
    <r>
      <t xml:space="preserve">Плиты огнеупорные теплоизоляционные муллитокремнеземистые  </t>
    </r>
    <r>
      <rPr>
        <b/>
        <sz val="12"/>
        <color indexed="18"/>
        <rFont val="Arial"/>
        <family val="2"/>
      </rPr>
      <t>(Температура применения,  максимальная 1250°С)</t>
    </r>
  </si>
  <si>
    <r>
      <t xml:space="preserve">Картон гибкий огнеупорный стекловолокнистый </t>
    </r>
    <r>
      <rPr>
        <b/>
        <sz val="12"/>
        <color indexed="18"/>
        <rFont val="Arial"/>
        <family val="2"/>
      </rPr>
      <t xml:space="preserve"> (Температура применения,  максимальная 1150°С)</t>
    </r>
  </si>
  <si>
    <t>1. Ж/д вагонами, ж/д контейнерами</t>
  </si>
  <si>
    <t>ед. изм.</t>
  </si>
  <si>
    <t>Поддоны: 1 поддон:420 шт. - 1,332;</t>
  </si>
  <si>
    <t>Поддоны: 1 поддон:420 шт. - 1,332т;</t>
  </si>
  <si>
    <t xml:space="preserve">22 руб./кг </t>
  </si>
  <si>
    <t>25,96 руб/кг</t>
  </si>
  <si>
    <t>ПРАЙС-ЛИСТ    с 29.06.2009</t>
  </si>
  <si>
    <t>Мешки полипропиленовые  50 кг, на поддоне - 900 кг</t>
  </si>
  <si>
    <t>Поддоны: (1) 1 поддон:385 шт. - от 1,309 до 1,370т;  (2)  1 поддон:420 шт. - от 1,428т;</t>
  </si>
  <si>
    <t>МШ-28</t>
  </si>
  <si>
    <t>на 31/12/07</t>
  </si>
  <si>
    <t>за 1 т</t>
  </si>
  <si>
    <t>МКР</t>
  </si>
  <si>
    <t>без ндс</t>
  </si>
  <si>
    <t>с ндс за 1 т</t>
  </si>
  <si>
    <t>ЗШБУ 1-3</t>
  </si>
  <si>
    <t>навалом</t>
  </si>
  <si>
    <t>м/т по 50 кг</t>
  </si>
  <si>
    <t>ЗШБУ 7</t>
  </si>
  <si>
    <t>вагонные поставки</t>
  </si>
  <si>
    <t>ПШБМ 5, 4</t>
  </si>
  <si>
    <t>ПШБМ 1-3</t>
  </si>
  <si>
    <t>МКР (контейнер без вкладыша)</t>
  </si>
  <si>
    <t>Вкладыш к контейнеру</t>
  </si>
  <si>
    <t>Поддон</t>
  </si>
  <si>
    <t>ШБ 5</t>
  </si>
  <si>
    <t>тонна</t>
  </si>
  <si>
    <t>1 кирпич</t>
  </si>
  <si>
    <t>ШБ 22</t>
  </si>
  <si>
    <t>ШБ 44</t>
  </si>
  <si>
    <t>ШБ 45</t>
  </si>
  <si>
    <t>глина огнеупорная</t>
  </si>
  <si>
    <t>1 поддон (420 кирпичей, около 1,370 тонн)</t>
  </si>
  <si>
    <t>Богданович</t>
  </si>
  <si>
    <t>на 01/01/08</t>
  </si>
  <si>
    <t>подорожание</t>
  </si>
  <si>
    <t>без ндс с учетом доставки</t>
  </si>
  <si>
    <t>с ндс с учетом доставки</t>
  </si>
  <si>
    <t>цена доставки  1 тонны (без ндс)</t>
  </si>
  <si>
    <t xml:space="preserve">Сух. Лог </t>
  </si>
  <si>
    <t>Никомогнеупор</t>
  </si>
  <si>
    <t>Сибпроект</t>
  </si>
  <si>
    <t>Сиброект</t>
  </si>
  <si>
    <t>Сиб. Порошки</t>
  </si>
  <si>
    <t>ПромКерамика</t>
  </si>
  <si>
    <t>без ндс (НДС у них нет)</t>
  </si>
  <si>
    <t>ж/д тариф на 1 тонну</t>
  </si>
  <si>
    <t>повышение цены с 01.01.08</t>
  </si>
  <si>
    <t>скидка для оптовиков</t>
  </si>
  <si>
    <t>цена для оптовиков без ндс</t>
  </si>
  <si>
    <t>МКР с вкладышем</t>
  </si>
  <si>
    <t>МКР без вкладыша</t>
  </si>
  <si>
    <t>цена с 01/01/08 без ндс (округленная)</t>
  </si>
  <si>
    <t>НДС 01/01/08 (округленный)</t>
  </si>
  <si>
    <t>цена с 01/01/08 с ндс (округленная)</t>
  </si>
  <si>
    <t>цена для оптовиков с ндс</t>
  </si>
  <si>
    <t>Внимание!</t>
  </si>
  <si>
    <t xml:space="preserve"> № п/п</t>
  </si>
  <si>
    <t>Технические требования ГОСТ, ТУ.</t>
  </si>
  <si>
    <t>ШБ-5</t>
  </si>
  <si>
    <t>ШБ-8</t>
  </si>
  <si>
    <t>ШБ-22</t>
  </si>
  <si>
    <t>ШБ-23</t>
  </si>
  <si>
    <t>ШБ-44</t>
  </si>
  <si>
    <t>ШБ-45</t>
  </si>
  <si>
    <t>Неформованные огнеупоры</t>
  </si>
  <si>
    <t>ТУ-1522-009-00190495-99</t>
  </si>
  <si>
    <t>ГОСТ 6137-97</t>
  </si>
  <si>
    <t>ГОСТ 23037-99</t>
  </si>
  <si>
    <t>Упаковка основной продукции</t>
  </si>
  <si>
    <t>Поддоны</t>
  </si>
  <si>
    <t>с/сть приобретения с учетом подорожания без нашей надбавки</t>
  </si>
  <si>
    <t>с/ть приобретения (с учетом НДС, доставки, поддонов и т.п.)</t>
  </si>
  <si>
    <t>расчет нашей надбавки от цены продажи с учетом подорожания</t>
  </si>
  <si>
    <t>расчет нашей надбавки от цены продажи (по факт с/ти)</t>
  </si>
  <si>
    <t>Сиалт Новосибирск</t>
  </si>
  <si>
    <t>на 14/01/08</t>
  </si>
  <si>
    <t>РСУ 77</t>
  </si>
  <si>
    <t>примечание</t>
  </si>
  <si>
    <t>в т.ч. Поддон и НДС; на объем &gt; 30 т готовы дать скидку 20 копеек</t>
  </si>
  <si>
    <t>в т.ч. Поддон и НДС; если береш больше поддона, то 18 р, если меньше,то 19р.</t>
  </si>
  <si>
    <t>в т.ч. Поддон и НДС; если береш больше поддона</t>
  </si>
  <si>
    <t>вагонные поставки (более 1 вагона)</t>
  </si>
  <si>
    <t>цена с 01/01/08 без ндс из расчета подоражания  по столбцу *</t>
  </si>
  <si>
    <t>*</t>
  </si>
  <si>
    <t>цена с 01/01/08 с ндс  из расчета подоражания  по столбцу *</t>
  </si>
  <si>
    <t>в МКР (без стоимости МКР)</t>
  </si>
  <si>
    <t>**</t>
  </si>
  <si>
    <t>фактическое повышение цены (с учетом округленной цены - ст,**)</t>
  </si>
  <si>
    <t>ИНН 5404121271</t>
  </si>
  <si>
    <t xml:space="preserve">Код по ОКПО 01873776    </t>
  </si>
  <si>
    <t>КПП 540401001</t>
  </si>
  <si>
    <t xml:space="preserve">р/сч 40702810744030100552                                            </t>
  </si>
  <si>
    <t>кор.счет 30101810500000000641</t>
  </si>
  <si>
    <t xml:space="preserve">Сибирский банк СБ РФ </t>
  </si>
  <si>
    <t>Ленинское ОСБ № 5503 г. Новосибирск</t>
  </si>
  <si>
    <t xml:space="preserve">тел./факс: (383) 343-98-55                                                                             </t>
  </si>
  <si>
    <t>E-mail: ogneupor_nsk@mail.ru</t>
  </si>
  <si>
    <t>1 скидка</t>
  </si>
  <si>
    <t>2 скидка</t>
  </si>
  <si>
    <t>ПГБ</t>
  </si>
  <si>
    <t xml:space="preserve">Глина огнеупорная </t>
  </si>
  <si>
    <t>МШ-31</t>
  </si>
  <si>
    <t>тел. приемная: (383) 343-66-98</t>
  </si>
  <si>
    <t>Упаковка</t>
  </si>
  <si>
    <t>Контейнер  МКР 0,8 т</t>
  </si>
  <si>
    <t>Мешки полипропиленовые  50 кг</t>
  </si>
  <si>
    <t>Контейнер  МКР 1,0 т</t>
  </si>
  <si>
    <t>Договорная цена (без учета оптовой скидки) в руб. за 1 тн. без НДС</t>
  </si>
  <si>
    <t>Мешки бумажные 40 кг</t>
  </si>
  <si>
    <t>цена дог.</t>
  </si>
  <si>
    <t>ЗШБУ кл.1-3</t>
  </si>
  <si>
    <t>ЗШБУ кл.4</t>
  </si>
  <si>
    <t>ЗШБУ кл.5</t>
  </si>
  <si>
    <t>ЗШБУ кл.7</t>
  </si>
  <si>
    <t>Мешки бумажные 50 кг</t>
  </si>
  <si>
    <t>ПШБМ кл.1-3</t>
  </si>
  <si>
    <t>ПШБМ кл.4</t>
  </si>
  <si>
    <t>ПШБМ кл.5</t>
  </si>
  <si>
    <t xml:space="preserve">Заполнитель шамотный </t>
  </si>
  <si>
    <t>ЗША</t>
  </si>
  <si>
    <t>Контейнер МКР (без вкладыша)</t>
  </si>
  <si>
    <t>Контейнер МКР (с вкладышем)</t>
  </si>
  <si>
    <t>Кирпич огнеупорный шамотный прямой</t>
  </si>
  <si>
    <t>Кирпич огнеупорный шамотный, клин торцовый</t>
  </si>
  <si>
    <t>Кирпич огнеупорный шамотный, клин ребровый</t>
  </si>
  <si>
    <t>Продукция огнеупорная шамотная общего назначения</t>
  </si>
  <si>
    <t>Прочая продукция</t>
  </si>
  <si>
    <t>Цемент глиноземистый</t>
  </si>
  <si>
    <t>ГЦ-40</t>
  </si>
  <si>
    <t>Мешки бумажные 45 кг</t>
  </si>
  <si>
    <t>ГЦ-50</t>
  </si>
  <si>
    <t>Асбест хризотиловый</t>
  </si>
  <si>
    <t>А-6-к30</t>
  </si>
  <si>
    <t>ГОСТ 12871-93</t>
  </si>
  <si>
    <t>Мешки полипропиленовые  45 кг</t>
  </si>
  <si>
    <t>Жидкое стекло</t>
  </si>
  <si>
    <t>ГОСТ 13078-81</t>
  </si>
  <si>
    <t>Бочки по 300 кг</t>
  </si>
  <si>
    <t>Наименование изделий</t>
  </si>
  <si>
    <t>Марка</t>
  </si>
  <si>
    <t>При оптовых заказах действует гибкая СИСТЕМА СКИДОК</t>
  </si>
  <si>
    <r>
      <t xml:space="preserve">Помимо широкой номенклатуры представленной в нашем прайсе продукции мы готовы рассмотреть Ваши заявки на поставку прочей огнеупорной продукции.  Ознакомиться с перечнем нашей продукции, узнать ее характеристики и свойства можно на нашем сайте в Интернете: </t>
    </r>
    <r>
      <rPr>
        <b/>
        <sz val="12"/>
        <rFont val="Verdana"/>
        <family val="2"/>
      </rPr>
      <t>www.ogneupor-nsk.ru</t>
    </r>
  </si>
  <si>
    <t xml:space="preserve">Алюмосиликатный заполнитель с огнеупорностью не ниже 1630˚ С </t>
  </si>
  <si>
    <t>Комплектация огнеупорами и огнеупорными материалами от производителя огнеупорной продукции</t>
  </si>
  <si>
    <t>ГОСТ 969-91</t>
  </si>
  <si>
    <t>Отгрузка производится:</t>
  </si>
  <si>
    <t>1. Ж/д вагонами</t>
  </si>
  <si>
    <t>2. Самовывозом</t>
  </si>
  <si>
    <t xml:space="preserve">3. Автотранспортом </t>
  </si>
  <si>
    <t>3. Оптовые цены установлены франко-вагон станция отправителя.</t>
  </si>
  <si>
    <t>4. В оптовых ценах франко-вагон станция отправления учтены все затраты по погрузке продукции в вагоны или автомобиль.</t>
  </si>
  <si>
    <t>5. Расходы, связанные с пакетированием продукции, оборудованием транспортных средств, укладкой на разовые поддоны и т.д. оплачиваются "Покупателем" дополнительно по установленным калькуляциями тарифам и ценам.</t>
  </si>
  <si>
    <t>7. Возврат тары "Покупателем" не производится.</t>
  </si>
  <si>
    <t>9. Изделия огнеупорные шамотные Тигли, поставляемые весом партии до 1000 кг расцениваются с удорожанием:</t>
  </si>
  <si>
    <t>9.1. при заказе до 1000 кг - в 1,2 раза;</t>
  </si>
  <si>
    <t>9.2. при заказе до 500 кг - в 3 раза;</t>
  </si>
  <si>
    <t>9.3. при заказе до 200 кг - в 10 раз.</t>
  </si>
  <si>
    <t>13. Скидки к прейскурантной цене:</t>
  </si>
  <si>
    <t>13.1. При оформлении заявки на одноименную огнеупорную продукцию с отгрузкой ж/д вагоном при оплате на условиях типового договора в течение одного календарного года, начиная со второго и по десятый вагон - от 2 до 10%;</t>
  </si>
  <si>
    <t>13.2. При оформлении разовой заявки на огнеупорную продукцию на сумму не менее 500 тыс. рублей с единовременной оплатой на условиях типового договора – 3%;</t>
  </si>
  <si>
    <t>13.3. При оформлении заявки на огнеупорную продукцию на сумму не менее 1000 тыс. рублей с единовременной оплатой на условиях типового договора – 5%;</t>
  </si>
  <si>
    <t>13.4. Накопительная скидка для одного юридического лица – плательщика по нескольким сделкам заключенных на условиях типового договора, в течение одного календарного года – 5% начиная с отгрузки, превышающей 3 млн. рублей с НДС;</t>
  </si>
  <si>
    <t>13.5. Накопительная скидка для одного юридического лица – плательщика по нескольким сделкам заключенных на условиях типового договора, в течение одного календарного года – 10% начиная с отгрузки, превышающей 5 млн. рублей с НДС.</t>
  </si>
  <si>
    <t>ОБЩИЕ УКАЗАНИЯ К ПРАЙС-ЛИСТУ</t>
  </si>
  <si>
    <t>6. Оплата транспортной тары, отпускаемой с продукцией, производится "Покупателем" по действующим на предприятие оптовым ценам в соответствии с утвержденными калькуляциями затрат на производство этой тары.</t>
  </si>
  <si>
    <t>1. Свободные (договорные) оптовые цены настоящего прайс-листа  распространяются на продукцию, производимую и реализуемую Второгнеупорматериалами.</t>
  </si>
  <si>
    <t>2. Оптовые цены установлены на продукцию, соответствующую всем обязательным требованиям cтандартов, технических условий или другой нормативно-технической документации, указанной в прайс-листе.</t>
  </si>
  <si>
    <t>«Второгнеупорматериалы» осуществляет производство и комплексные поставки огнеупорной продукции на территории России и стран СНГ для предприятий цветной металлургии, машиностроения, цементной продукции и прочих отраслей промышленности, применяющей огнеупоры.</t>
  </si>
  <si>
    <t>Предприятие основано в 1967 году и на протяжении 40 лет имеет репутацию поставщика огнеупорной продукции.</t>
  </si>
  <si>
    <t>«Второгнеупорматериалы» представляет широкий выбор огнеупорной продукции собственного производства – неформованные огнеупоры, и формованной продукции лучших производителей огнеупорной продукции: шамотный кирпич и другие шамотные изделия. Предлагаемый ассортимент включает в себя сотни наименований огнеупоров и поставщиков с учетом спроса. Вся продукция сертифицирована и отвечает высоким мировым стандартам.</t>
  </si>
  <si>
    <t>Политика продаж «Второгнеупорматериалов» направлена на долгосрочное и взаимовыгодное сотрудничество, которое за 40 лет работы предприятия на рынке уже сложилось с огромным числом предприятий Сибири и других регионов России. Контроль за сроками и качеством каждой поставки обеспечит бесперебойное снабжение вашего предприятия огнеупорной продукцией.</t>
  </si>
  <si>
    <t xml:space="preserve">ЗАО «Второгнеупорматериалы» — это высококачественные системные решения в области обеспечения предприятий огнеупорами и технической теплоизоляцией. </t>
  </si>
  <si>
    <t xml:space="preserve">630077  г.Новосибирск, ул. Костычева, 40/2, аб. ящик 100 </t>
  </si>
  <si>
    <t xml:space="preserve">Прямое долгосрочное сотрудничество с ведущими заводами – изготовителями огнеупоров  и заключенные с ними дилерские соглашения обеспечивают поставки огнеупорной продукции по самым выгодным в  регионе ценам. На собственном складе предприятия с подъездными ж.д. путями имеется постоянный запас огнеупорной продукции, что позволит поставлять огнеупорную продукцию в оговоренные сроки. </t>
  </si>
  <si>
    <t>Огнеупорные теплоизоляционные материалы</t>
  </si>
  <si>
    <t>ШЛ 1,3 №5</t>
  </si>
  <si>
    <t>Кирпич шамотный легковесный</t>
  </si>
  <si>
    <t>ТУ-1541-048-05802299-2004, ГОСТ 8691-73</t>
  </si>
  <si>
    <t>ШЛ 1,0 №5</t>
  </si>
  <si>
    <t>МКРР-130</t>
  </si>
  <si>
    <t>ГОСТ 23619-79</t>
  </si>
  <si>
    <t>Рулоны</t>
  </si>
  <si>
    <t>Муллитокремнеземистый войлок</t>
  </si>
  <si>
    <t>МКРВ-200</t>
  </si>
  <si>
    <t>Муллитокремнеземистый фетр</t>
  </si>
  <si>
    <t>МКРФ-100</t>
  </si>
  <si>
    <t>Плиты огнеупорные теплоизоляционные муллитокремнеземистые</t>
  </si>
  <si>
    <t>МКРП-340</t>
  </si>
  <si>
    <t>Плиты в ящиках</t>
  </si>
  <si>
    <t>МКРГПО-650</t>
  </si>
  <si>
    <t>ТУ 1529-002-05802307-97</t>
  </si>
  <si>
    <t>МКРГП-500</t>
  </si>
  <si>
    <t>ТУ 14-8-440-83</t>
  </si>
  <si>
    <t>МКРКГ-400</t>
  </si>
  <si>
    <t>ТУ 14-8-537-93</t>
  </si>
  <si>
    <t>Картон гибкий огнеупорный стекловолокнистый</t>
  </si>
  <si>
    <t>МКРКЛ-450</t>
  </si>
  <si>
    <t>ГОСТ 390-96,ГОСТ 8691-73</t>
  </si>
  <si>
    <t>ГОСТ 390-96, ГОСТ 8691-73</t>
  </si>
  <si>
    <t>х</t>
  </si>
  <si>
    <t>с учетом стоимости МКР (с вкладышем)</t>
  </si>
  <si>
    <t>с учетом стоимости МКР (без  вкладыша)</t>
  </si>
  <si>
    <t>БИК 045004641</t>
  </si>
  <si>
    <t>x</t>
  </si>
  <si>
    <t>ЗШБУ кл.5,4</t>
  </si>
  <si>
    <t>скидка для оптовиков на продукцию</t>
  </si>
  <si>
    <t>цена для оптовиков без ндс с округлением</t>
  </si>
  <si>
    <t>Стоимость 1 тонны без учета стоимости поддонов (47/63*385 шт кирпичей)</t>
  </si>
  <si>
    <t>8% от 20 т (от 14 поддонов)</t>
  </si>
  <si>
    <t>цена в прайсе</t>
  </si>
  <si>
    <t>Стоимость 1 т с учетом поддона</t>
  </si>
  <si>
    <t>Стоимость 1 кирпича без учета упаковки (поддона)</t>
  </si>
  <si>
    <t>Стоимость 1 поддона (385 кирпичей, 1,35 тонн или 63/47)</t>
  </si>
  <si>
    <t>Стоимость 1 поддона с учетом цены поддона</t>
  </si>
  <si>
    <t>Стоимость 1 кирпича с учетом  упаковки (поддона)</t>
  </si>
  <si>
    <t>Стоимость 1 тонны без учета стоимости поддонов (420 кирпичей, около 1,370 тонн)</t>
  </si>
  <si>
    <t>цена на 01.01.08 по бух учету</t>
  </si>
  <si>
    <t>ПШБМ 5</t>
  </si>
  <si>
    <t>ПШБМ 4</t>
  </si>
  <si>
    <t>базовая цена</t>
  </si>
  <si>
    <t>Стоимость 1 тонны без учета стоимости поддонов (420 кирпичей, около 1,250тонн)</t>
  </si>
  <si>
    <t>5% от 10 т (от 7 поддонов) либо от 30 т. накопительно с начало года</t>
  </si>
  <si>
    <t>на 04.02.08 - самовывоз</t>
  </si>
  <si>
    <t>скидка, при достижении оптовых поставок (1 вагон)</t>
  </si>
  <si>
    <t>скидка до оптовых цен</t>
  </si>
  <si>
    <t>объем разовой поставки до достижения оптовых поставок</t>
  </si>
  <si>
    <t>сумма с НДС разовой поставки</t>
  </si>
  <si>
    <t>ГОСТ</t>
  </si>
  <si>
    <t>Вид продукции</t>
  </si>
  <si>
    <t>Вид упаковки</t>
  </si>
  <si>
    <t>Цена по прайсу за 1 т, без НДС</t>
  </si>
  <si>
    <t>цена за 1 т при  оптовых поставках (без НДС)</t>
  </si>
  <si>
    <t xml:space="preserve">цена за 1 т, если сумма поставок меньше оптовых, но заключен долгосрочный договор на объем (вид 1) </t>
  </si>
  <si>
    <t>цена за 1 т для этого объема</t>
  </si>
  <si>
    <t xml:space="preserve">Мертель шамотный* </t>
  </si>
  <si>
    <t>Кирпич огнеупорный шамотный прямой*</t>
  </si>
  <si>
    <t>* В счете отдельно указывается цена за упаковку</t>
  </si>
  <si>
    <t xml:space="preserve">объем следующей разовой поставки </t>
  </si>
  <si>
    <t>сумма, без НДС разовой поставки</t>
  </si>
  <si>
    <t>пересчет цены, в соответствии с долгосрочным договором при достижении оптового объема</t>
  </si>
  <si>
    <t>цена пересчета за 1 т без НДС</t>
  </si>
  <si>
    <t>сумма за 1 вагона, без НДС</t>
  </si>
  <si>
    <t xml:space="preserve">объем </t>
  </si>
  <si>
    <t>Итоговая цена за 1 т для этого объема + НДС</t>
  </si>
  <si>
    <t>Итоговая цена упаковки на 63 т+НДС</t>
  </si>
  <si>
    <t>цена упаковки 1 т + НДС</t>
  </si>
  <si>
    <t>цена 1 т + упаковка 1 т + НДС (Богдановича)</t>
  </si>
  <si>
    <t>цена 1 т + упаковка 1 т + НДС (наша)</t>
  </si>
  <si>
    <t>Итоговая цена за 1 т для оптовогообъема, без НДС</t>
  </si>
  <si>
    <t>больше 126 т</t>
  </si>
  <si>
    <t>больше 63 т</t>
  </si>
  <si>
    <t>Муллитокремнеземистый рулонный материал - вата</t>
  </si>
  <si>
    <t>вес в т</t>
  </si>
  <si>
    <t>цена за 1 т с ндс без ст-ти ж/д тарифа</t>
  </si>
  <si>
    <t>стоимость за весь объем за 1 т с ндс без ст-ти ж/д тарифа</t>
  </si>
  <si>
    <t>600*400*40</t>
  </si>
  <si>
    <t>цена за 1 т ,tp ylc без ст-ти ж/д тарифа</t>
  </si>
  <si>
    <t>ж/д тариф и упаковка</t>
  </si>
  <si>
    <t>сумма за 1 позицию с ндс и  с учетом доставки</t>
  </si>
  <si>
    <t>цена за 1 т с ндс с учетом всех расходов</t>
  </si>
  <si>
    <t>цена за 1 т с НДС (без округления)</t>
  </si>
  <si>
    <t>цена за 1 т без ндс без округл</t>
  </si>
  <si>
    <t>цена за 1 т с округл без ндс</t>
  </si>
  <si>
    <t>цена за 1 т с округл с ндс</t>
  </si>
  <si>
    <t>цена за 1 кг без ндс</t>
  </si>
  <si>
    <t>цена за 1 кг с ндс</t>
  </si>
  <si>
    <t>вата</t>
  </si>
  <si>
    <t>войлок</t>
  </si>
  <si>
    <t>фетр</t>
  </si>
  <si>
    <t>плиты</t>
  </si>
  <si>
    <t>картон</t>
  </si>
  <si>
    <t>шт</t>
  </si>
  <si>
    <t>цена за 1 шт без ндс</t>
  </si>
  <si>
    <t>цена за 1 шт с ндс</t>
  </si>
  <si>
    <t>примерно за 1 рулон - 1640,99 руб</t>
  </si>
  <si>
    <t>примерно за 1 рулон -1390,67 руб</t>
  </si>
  <si>
    <t>14 рулонов - примерно в 1 рулоне 16 кг</t>
  </si>
  <si>
    <t>1400*800*11</t>
  </si>
  <si>
    <t>листы</t>
  </si>
  <si>
    <t>103 листа; 1 лист 4,427 кг (примерно)</t>
  </si>
  <si>
    <t>130 плит; 1 плита - 4,8 кг</t>
  </si>
  <si>
    <t>13 плит; 1 плита - 21,62 кг (примерно)</t>
  </si>
  <si>
    <t>вес рулона разный от 13 кг до 17 кг</t>
  </si>
  <si>
    <t>100 шт; 3,26 кг за 1 плиту</t>
  </si>
  <si>
    <t>ПРАЙС-ЛИСТ    с 25.03.2008</t>
  </si>
  <si>
    <t>E-mail: info@ogneupor-nsk.ru</t>
  </si>
  <si>
    <t>скидка 3%</t>
  </si>
  <si>
    <t>цена за 1 т без ндс</t>
  </si>
  <si>
    <t>цена за 1 т с ндс</t>
  </si>
  <si>
    <t>скидка 10%-от 200 000 руб по счету</t>
  </si>
  <si>
    <t>скидка 5%-от 100 000 руб по счету</t>
  </si>
  <si>
    <t>ГОСТ 23619-79 с изм. 1,2</t>
  </si>
  <si>
    <t>ТУ 1529-002-05802307-97 с изм. 1</t>
  </si>
  <si>
    <t>ТУ 14-8-440-83 с изм. 1,2,3,4,5</t>
  </si>
  <si>
    <t>ТУ 14-8-537-93 с изм. 1,2</t>
  </si>
  <si>
    <t>сумма с ндс (округленная)</t>
  </si>
  <si>
    <t>рулоны около 14 кг</t>
  </si>
  <si>
    <t>Рулоны (вес 1 рулона от  11 кг)</t>
  </si>
  <si>
    <t>Рулоны (вес 1 рулона от 13 кг)</t>
  </si>
  <si>
    <t>220 руб./шт</t>
  </si>
  <si>
    <t>Плиты (вес 1 плиты - 3,26 кг; размер 600*400*40)</t>
  </si>
  <si>
    <t>1300 руб./шт</t>
  </si>
  <si>
    <t>Плиты (вес 1 плиты - 21,62 кг)</t>
  </si>
  <si>
    <t>Плиты (вес 1 плиты - 4,8 кг; размер 600*400*40)</t>
  </si>
  <si>
    <t>260 руб./шт</t>
  </si>
  <si>
    <t>Рулоны (вес 1 рулона от 16 кг)</t>
  </si>
  <si>
    <t>87,70 руб./кг</t>
  </si>
  <si>
    <t>72,50 руб./кг</t>
  </si>
  <si>
    <t>50,20 руб./кг</t>
  </si>
  <si>
    <t>48,95 руб./кг</t>
  </si>
  <si>
    <t>Листы (вес 1 листа - 4,427 кг; размер 1400*800*11)</t>
  </si>
  <si>
    <t>490 руб./шт</t>
  </si>
  <si>
    <t>для изготовления плит то и вставок, при производстве уплотнительных вставок, используемых в защитных трубах и погружных стаканах приконвертерном производстве стали, при производстве измельченного волокна, используемого для теплоизоляционных засыпок и других изделий. Для изоляции сводов и стен различного вида печей
для заполнения температурных и компенсационных швов печей, газовых горелок и печных вагонеток.</t>
  </si>
  <si>
    <t xml:space="preserve">для теплоизоляционной оболочки на литейных формах и изложницах; съемные теплоизоляционные одеяла для паровых и газовых турбин; гибкая изоляция труб с высокими температурами; звукоизоляция при высоких температурах;
использование в высокотемпературных фильтрах;
высокотемпературные прокладки; ремонт сводов и стен печей; огнезащита, изоляция печных дверей; носитель катализатора для газоочистки; в ядерной отрасли
</t>
  </si>
  <si>
    <t xml:space="preserve">в рабочих слоях футеровок нагревательных и термических печей при скоростях газов до 10 м/с; в изоляции колпаков воздухонагревателей доменных печей; в реформерах конверсии природного газа; в рекуператорах шахтных печей;
в качестве заполнителя температурных швов;
в изоляции крышек стальковшей; теплоизоляция нагревательных печей, крышек сталеразливочных ковшей, крышек нагревательных колодцев, подовых труб; методических печей; воздухонагревателей доменных печей при температуре до 1150°С;
теплоизоляция крышек сталеразливочных ковшей, работающих в режиме непрерывной разливки стали.
</t>
  </si>
  <si>
    <r>
      <t xml:space="preserve">Муллитокремнеземистая вата </t>
    </r>
    <r>
      <rPr>
        <b/>
        <sz val="12"/>
        <color indexed="18"/>
        <rFont val="Verdana"/>
        <family val="2"/>
      </rPr>
      <t>(Температура применения,  максимальная 1150°С)</t>
    </r>
  </si>
  <si>
    <r>
      <t xml:space="preserve">Муллитокремнеземистый войлок </t>
    </r>
    <r>
      <rPr>
        <b/>
        <sz val="12"/>
        <color indexed="18"/>
        <rFont val="Verdana"/>
        <family val="2"/>
      </rPr>
      <t>(Температура применения,  максимальная 1150°С)</t>
    </r>
  </si>
  <si>
    <r>
      <t xml:space="preserve">Муллитокремнеземистый фетр </t>
    </r>
    <r>
      <rPr>
        <b/>
        <sz val="12"/>
        <color indexed="18"/>
        <rFont val="Verdana"/>
        <family val="2"/>
      </rPr>
      <t>(Температура применения,  максимальная 1150°С)</t>
    </r>
  </si>
  <si>
    <t xml:space="preserve">для футеровки рабочего слоя газовых и электрических термических печей с температурой службы до 1200°С и скоростью давления потока теплоносителя до 40 м/с;
плиты обладают высокими теплоизоляционными свойствами, могут использоваться в рабочем пространстве печи.
</t>
  </si>
  <si>
    <t>теплоизоляция прибыльной части изложниц при разливе стали; изоляция термических печей всех типов; в качестве изоляцонного слоя в воздухонагревателях доменных печей; 
в установках по производству водорода; в футеровке прибыльных надставок; в изоляции котлов;
в рабочих слоях колпаковых печей.</t>
  </si>
  <si>
    <t xml:space="preserve">для футеровки рабочего слоя газовых и электрических термических печей с температурой службы до 1350°С и скоростью давления потока теплоносителя до 40 м/с;
плиты обладают высокими теплоизоляционными свойствами; могут использоваться в рабочем пространстве печи.
</t>
  </si>
  <si>
    <r>
      <t xml:space="preserve">Плиты огнеупорные теплоизоляционные муллитокремнеземистые </t>
    </r>
    <r>
      <rPr>
        <b/>
        <sz val="12"/>
        <color indexed="18"/>
        <rFont val="Verdana"/>
        <family val="2"/>
      </rPr>
      <t>(Температура применения,  максимальная 1150°С)</t>
    </r>
  </si>
  <si>
    <r>
      <t xml:space="preserve">Плиты огнеупорные теплоизоляционные муллитокремнеземистые </t>
    </r>
    <r>
      <rPr>
        <b/>
        <sz val="12"/>
        <color indexed="18"/>
        <rFont val="Verdana"/>
        <family val="2"/>
      </rPr>
      <t>(Температура применения,  максимальная 1350°С)</t>
    </r>
  </si>
  <si>
    <r>
      <t xml:space="preserve">Плиты огнеупорные теплоизоляционные муллитокремнеземистые  </t>
    </r>
    <r>
      <rPr>
        <b/>
        <sz val="12"/>
        <color indexed="18"/>
        <rFont val="Verdana"/>
        <family val="2"/>
      </rPr>
      <t>(Температура применения,  максимальная 1250°С)</t>
    </r>
  </si>
  <si>
    <r>
      <t xml:space="preserve">Картон гибкий огнеупорный стекловолокнистый  </t>
    </r>
    <r>
      <rPr>
        <b/>
        <sz val="12"/>
        <color indexed="18"/>
        <rFont val="Verdana"/>
        <family val="2"/>
      </rPr>
      <t>(Температура применения,  максимальная 1150°С)</t>
    </r>
  </si>
  <si>
    <t xml:space="preserve">в качестве разовых конусов для стопоров ленточных отверстий в печах плавки и выдержки алюминия;
в качестве компенсационных прокладок рабочего слоя футеровки стен и подвесных сводов в газоотражательных печах плавки алюминия с рабочей температурой 1100°С;
для заполнения температурных швов;
для изоляции термических и нагревательных печей, трубопроводов; для ликвидации зазора между изложницей и прибыльной надставкой при разливе стали;
для защиты кожуха сталеразливочного ковша от перегрева при использовании в рабочей футеровке высокотеплопроводных ковшевых периклазошпинелидно-углеродистых изделий марки ПШУС-2.
</t>
  </si>
  <si>
    <r>
      <t xml:space="preserve">Картон гибкий огнеупорный стекловолокнистый </t>
    </r>
    <r>
      <rPr>
        <b/>
        <sz val="12"/>
        <color indexed="18"/>
        <rFont val="Verdana"/>
        <family val="2"/>
      </rPr>
      <t xml:space="preserve"> (Температура применения,  максимальная 1150°С)</t>
    </r>
  </si>
  <si>
    <r>
      <t xml:space="preserve">Мертель шамотный </t>
    </r>
    <r>
      <rPr>
        <b/>
        <sz val="12"/>
        <color indexed="18"/>
        <rFont val="Verdana"/>
        <family val="2"/>
      </rPr>
      <t>(Температура применения,  максимальная 1650°С)</t>
    </r>
  </si>
  <si>
    <t xml:space="preserve">для связывания алюмосиликатных изделий в огнеупорной кладке; для приготовления огнеупорных обмазок
</t>
  </si>
  <si>
    <r>
      <t xml:space="preserve">Мертель шамотный </t>
    </r>
    <r>
      <rPr>
        <b/>
        <sz val="12"/>
        <color indexed="18"/>
        <rFont val="Verdana"/>
        <family val="2"/>
      </rPr>
      <t>(Температура применения,  максимальная 1690°С)</t>
    </r>
  </si>
  <si>
    <t xml:space="preserve">для изготовления огнеупорных бетонных изделий, масс, смесей, мертелей, покрытий.
</t>
  </si>
  <si>
    <t xml:space="preserve">для изготовления огнеупорных изделий, масс, смесей, мертелей, ремонта тепловых агрегатов, теплоизоляции и др.
</t>
  </si>
  <si>
    <r>
      <t xml:space="preserve">Порошок шамотный молотый </t>
    </r>
    <r>
      <rPr>
        <b/>
        <sz val="12"/>
        <color indexed="18"/>
        <rFont val="Verdana"/>
        <family val="2"/>
      </rPr>
      <t>(Температура применения,  максимальная 1670°С)</t>
    </r>
  </si>
  <si>
    <r>
      <t xml:space="preserve">Порошок шамотный молотый </t>
    </r>
    <r>
      <rPr>
        <b/>
        <sz val="12"/>
        <color indexed="56"/>
        <rFont val="Verdana"/>
        <family val="2"/>
      </rPr>
      <t>(Температура применения,  максимальная 1670°С)</t>
    </r>
  </si>
  <si>
    <t xml:space="preserve">http://www.ogneupor-nsk.ru                                                  </t>
  </si>
  <si>
    <t>Цена по прайсу (без учета оптовой скидки) в руб. за 1 тн. без НДС</t>
  </si>
  <si>
    <t>цена 1 кирпича без доставки</t>
  </si>
  <si>
    <t>цена за 1 кирпич с доставкой в Кировский район</t>
  </si>
  <si>
    <t>18,42 руб./кирпич</t>
  </si>
  <si>
    <t xml:space="preserve">* Цена включает упаковку, пакетирование, загрузку </t>
  </si>
  <si>
    <t xml:space="preserve">цена 1 кирпича без доставки (НДС в т.ч.) </t>
  </si>
  <si>
    <t>18,647 руб./кирпич</t>
  </si>
  <si>
    <t>18,053 руб./кирпич</t>
  </si>
  <si>
    <t>19,459 руб./кирпич</t>
  </si>
  <si>
    <t>17,502 руб./кирпич</t>
  </si>
  <si>
    <t>Цена за 1 кирпич при заказе            7 поддонов</t>
  </si>
  <si>
    <t>Цена за 1 кирпич при заказе            14 поддонов</t>
  </si>
  <si>
    <t>18,096  руб./кирпич</t>
  </si>
  <si>
    <t>Цена за 1 кирпич при заказе              4 поддонов</t>
  </si>
  <si>
    <t>Плиты (вес 1 плиты - 3,26 кг; размер 600*400*40), поштучно</t>
  </si>
  <si>
    <t>Плиты (вес 1 плиты - 4,8 кг; размер 600*400*40), поштучно</t>
  </si>
  <si>
    <t>Листы (вес 1 листа - 4,427 кг; размер 1400*800*11), поштучно</t>
  </si>
  <si>
    <t>Мешки полипропиленовые     45-50 кг</t>
  </si>
  <si>
    <t>ЗШБУ кл.1-3 (фр.5-25 мм)</t>
  </si>
  <si>
    <t>ЗШБУ кл.4 (фр.0-5)</t>
  </si>
  <si>
    <t>ЗШБУ кл.5 (фр.0-2 мм)</t>
  </si>
  <si>
    <t>ЗШБУ кл.7 (0-0,5 мм)</t>
  </si>
  <si>
    <t>ПШБМ кл.1-3 (фр.5-25 мм)</t>
  </si>
  <si>
    <t>ПШБМ кл.4 (фр.0-5)</t>
  </si>
  <si>
    <t>ПШБМ кл.5 (фр.0-2 мм)</t>
  </si>
  <si>
    <t>ГОСТ 4689-94</t>
  </si>
  <si>
    <t>ГОСТ 5381-93</t>
  </si>
  <si>
    <t>Вермикулит вспученный</t>
  </si>
  <si>
    <t>Цена за 1 т без НДС без упаковки, руб/т</t>
  </si>
  <si>
    <t>ШБ-6</t>
  </si>
  <si>
    <t>Поддоны: 1 поддон:630 шт. - от 1,35т</t>
  </si>
  <si>
    <t>Поддоны: 1 поддон:420 шт. - 1,35т</t>
  </si>
  <si>
    <t>Поддоны: 1 поддон:420 шт. - 1,22т</t>
  </si>
  <si>
    <t>т</t>
  </si>
  <si>
    <t>Кирпич пенодиатомитовый теплоизоляционный</t>
  </si>
  <si>
    <t>Вермикулит и изделия из вермикулита</t>
  </si>
  <si>
    <t>ТУ 2111-003-95671464-2006</t>
  </si>
  <si>
    <t>ВВТ-150</t>
  </si>
  <si>
    <t>м3</t>
  </si>
  <si>
    <t>Мешки по 70 л, по 90 л</t>
  </si>
  <si>
    <t xml:space="preserve">Кремневермикулитовая плита </t>
  </si>
  <si>
    <t>марка 350</t>
  </si>
  <si>
    <t>Цена упаковки в цене плитки; 1 плитка - 0,041 м3</t>
  </si>
  <si>
    <t>КПДО-И (фр.0-20 мм)</t>
  </si>
  <si>
    <t>Контейнер  МКР: 0,7 м3 по 245 кг</t>
  </si>
  <si>
    <t>Глиноземистый и высокоглиноземистый цемент</t>
  </si>
  <si>
    <t>Асбестовая продукция</t>
  </si>
  <si>
    <t>ГОСТ 12871-93,ТУ 5721-10-0284351-2000</t>
  </si>
  <si>
    <t>Асбокартон КАОН-1 (5 мм)</t>
  </si>
  <si>
    <t>КАОН-1</t>
  </si>
  <si>
    <t>ГОСТ 2850-95</t>
  </si>
  <si>
    <t>лист 1000*800*5</t>
  </si>
  <si>
    <t>КАОН-3</t>
  </si>
  <si>
    <t>Асбокартон КАОН-3 (10 мм)</t>
  </si>
  <si>
    <t>лист 1000*800*10</t>
  </si>
  <si>
    <t>Асбошнур ШАОН (5 мм)</t>
  </si>
  <si>
    <t>ШАОН (5 мм)</t>
  </si>
  <si>
    <t>ГОСТ 1779-83</t>
  </si>
  <si>
    <t>1 бухта - около 21 кг</t>
  </si>
  <si>
    <t>кг</t>
  </si>
  <si>
    <t>Асбошнур ШАОН (10 мм)</t>
  </si>
  <si>
    <t>ШАОН (10 мм)</t>
  </si>
  <si>
    <t>1 бухта - около 20 кг</t>
  </si>
  <si>
    <t>Асбошнур ШАОН (22 мм)</t>
  </si>
  <si>
    <t>ШАОН (22 мм)</t>
  </si>
  <si>
    <t>Упаковка, Примечание</t>
  </si>
  <si>
    <t>Цена продукции</t>
  </si>
  <si>
    <r>
      <t xml:space="preserve">Прочие формованные шамотные, муллитокремнеземистые, муллитовые, корундовые изделия   </t>
    </r>
    <r>
      <rPr>
        <b/>
        <sz val="16"/>
        <color indexed="10"/>
        <rFont val="Arial"/>
        <family val="2"/>
      </rPr>
      <t>(8 000 наименований),  а также изделия по чертежам заказчика</t>
    </r>
  </si>
  <si>
    <t>ед.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</si>
</sst>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000%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0_р_._-;\-* #,##0.0000000_р_._-;_-* &quot;-&quot;??_р_._-;_-@_-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 Cyr"/>
      <family val="0"/>
    </font>
    <font>
      <sz val="18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  <font>
      <sz val="11"/>
      <name val="Verdana"/>
      <family val="2"/>
    </font>
    <font>
      <sz val="11"/>
      <color indexed="10"/>
      <name val="Verdana"/>
      <family val="2"/>
    </font>
    <font>
      <b/>
      <sz val="14"/>
      <name val="Verdana"/>
      <family val="2"/>
    </font>
    <font>
      <b/>
      <u val="single"/>
      <sz val="14"/>
      <color indexed="12"/>
      <name val="Verdana"/>
      <family val="2"/>
    </font>
    <font>
      <b/>
      <u val="single"/>
      <sz val="14"/>
      <color indexed="12"/>
      <name val="Arial Cyr"/>
      <family val="0"/>
    </font>
    <font>
      <b/>
      <sz val="14"/>
      <color indexed="9"/>
      <name val="Verdana"/>
      <family val="2"/>
    </font>
    <font>
      <b/>
      <sz val="26"/>
      <color indexed="9"/>
      <name val="Verdana"/>
      <family val="2"/>
    </font>
    <font>
      <b/>
      <sz val="14"/>
      <name val="Arial Cyr"/>
      <family val="0"/>
    </font>
    <font>
      <sz val="14"/>
      <name val="Verdana"/>
      <family val="2"/>
    </font>
    <font>
      <sz val="14"/>
      <name val="Arial Cyr"/>
      <family val="0"/>
    </font>
    <font>
      <b/>
      <sz val="10"/>
      <color indexed="9"/>
      <name val="Arial Cyr"/>
      <family val="0"/>
    </font>
    <font>
      <b/>
      <sz val="12"/>
      <color indexed="9"/>
      <name val="Arial Cyr"/>
      <family val="0"/>
    </font>
    <font>
      <sz val="12"/>
      <color indexed="9"/>
      <name val="Arial Cyr"/>
      <family val="0"/>
    </font>
    <font>
      <sz val="12"/>
      <color indexed="20"/>
      <name val="Arial Cyr"/>
      <family val="0"/>
    </font>
    <font>
      <b/>
      <sz val="12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8"/>
      <name val="Verdana"/>
      <family val="2"/>
    </font>
    <font>
      <i/>
      <sz val="10"/>
      <name val="Verdana"/>
      <family val="2"/>
    </font>
    <font>
      <b/>
      <sz val="12"/>
      <color indexed="56"/>
      <name val="Verdana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2"/>
      <color indexed="8"/>
      <name val="Arial Cyr"/>
      <family val="0"/>
    </font>
    <font>
      <b/>
      <sz val="12"/>
      <color indexed="8"/>
      <name val="Verdana"/>
      <family val="2"/>
    </font>
    <font>
      <b/>
      <u val="single"/>
      <sz val="12"/>
      <color indexed="12"/>
      <name val="Verdana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u val="single"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color indexed="9"/>
      <name val="Arial"/>
      <family val="2"/>
    </font>
    <font>
      <sz val="36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indexed="9"/>
      </left>
      <right style="double">
        <color indexed="9"/>
      </right>
      <top style="double"/>
      <bottom/>
    </border>
    <border>
      <left style="double">
        <color indexed="9"/>
      </left>
      <right/>
      <top style="double"/>
      <bottom/>
    </border>
    <border>
      <left/>
      <right style="double">
        <color indexed="9"/>
      </right>
      <top style="double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>
        <color indexed="32"/>
      </right>
      <top style="thin"/>
      <bottom style="thin">
        <color indexed="32"/>
      </bottom>
    </border>
    <border>
      <left style="thin">
        <color indexed="32"/>
      </left>
      <right style="thin">
        <color indexed="32"/>
      </right>
      <top style="thin"/>
      <bottom style="thin">
        <color indexed="32"/>
      </bottom>
    </border>
    <border>
      <left style="thin">
        <color indexed="32"/>
      </left>
      <right style="thin"/>
      <top style="thin"/>
      <bottom style="thin">
        <color indexed="32"/>
      </bottom>
    </border>
    <border>
      <left style="thin"/>
      <right style="thin">
        <color indexed="32"/>
      </right>
      <top style="thin">
        <color indexed="32"/>
      </top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32"/>
      </left>
      <right style="thin">
        <color indexed="32"/>
      </right>
      <top style="thin"/>
      <bottom/>
    </border>
    <border>
      <left style="thin">
        <color indexed="32"/>
      </left>
      <right style="thin">
        <color indexed="32"/>
      </right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double">
        <color indexed="10"/>
      </left>
      <right/>
      <top style="thin">
        <color indexed="9"/>
      </top>
      <bottom style="double">
        <color indexed="10"/>
      </bottom>
    </border>
    <border>
      <left/>
      <right/>
      <top style="thin">
        <color indexed="9"/>
      </top>
      <bottom style="double">
        <color indexed="10"/>
      </bottom>
    </border>
    <border>
      <left/>
      <right style="double">
        <color indexed="10"/>
      </right>
      <top style="thin">
        <color indexed="9"/>
      </top>
      <bottom style="double">
        <color indexed="10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43" fontId="0" fillId="0" borderId="0" xfId="59" applyFont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43" fontId="0" fillId="0" borderId="0" xfId="59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5" borderId="0" xfId="0" applyFill="1" applyAlignment="1">
      <alignment vertical="center" wrapText="1"/>
    </xf>
    <xf numFmtId="165" fontId="0" fillId="0" borderId="0" xfId="56" applyNumberFormat="1" applyFont="1" applyFill="1" applyAlignment="1">
      <alignment vertical="center" wrapText="1"/>
    </xf>
    <xf numFmtId="9" fontId="0" fillId="0" borderId="0" xfId="56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0" fontId="0" fillId="0" borderId="0" xfId="56" applyNumberFormat="1" applyFont="1" applyAlignment="1">
      <alignment vertical="center" wrapText="1"/>
    </xf>
    <xf numFmtId="43" fontId="4" fillId="36" borderId="0" xfId="59" applyFont="1" applyFill="1" applyAlignment="1">
      <alignment vertical="center" wrapText="1"/>
    </xf>
    <xf numFmtId="10" fontId="4" fillId="36" borderId="0" xfId="56" applyNumberFormat="1" applyFont="1" applyFill="1" applyAlignment="1">
      <alignment vertical="center" wrapText="1"/>
    </xf>
    <xf numFmtId="43" fontId="5" fillId="0" borderId="0" xfId="59" applyFont="1" applyAlignment="1">
      <alignment vertical="center" wrapText="1"/>
    </xf>
    <xf numFmtId="43" fontId="5" fillId="0" borderId="0" xfId="59" applyNumberFormat="1" applyFont="1" applyAlignment="1">
      <alignment vertical="center" wrapText="1"/>
    </xf>
    <xf numFmtId="43" fontId="4" fillId="37" borderId="0" xfId="59" applyFont="1" applyFill="1" applyAlignment="1">
      <alignment horizontal="center" vertical="center" wrapText="1"/>
    </xf>
    <xf numFmtId="10" fontId="4" fillId="37" borderId="0" xfId="56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33" borderId="0" xfId="59" applyFont="1" applyFill="1" applyAlignment="1">
      <alignment vertical="center" wrapText="1"/>
    </xf>
    <xf numFmtId="0" fontId="0" fillId="38" borderId="0" xfId="0" applyFill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3" fillId="38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3" fontId="0" fillId="33" borderId="0" xfId="59" applyFont="1" applyFill="1" applyAlignment="1">
      <alignment vertical="center"/>
    </xf>
    <xf numFmtId="9" fontId="0" fillId="0" borderId="0" xfId="56" applyFont="1" applyAlignment="1">
      <alignment vertical="center" wrapText="1"/>
    </xf>
    <xf numFmtId="43" fontId="0" fillId="0" borderId="0" xfId="56" applyNumberFormat="1" applyFont="1" applyAlignment="1">
      <alignment vertical="center" wrapText="1"/>
    </xf>
    <xf numFmtId="43" fontId="4" fillId="36" borderId="0" xfId="59" applyFont="1" applyFill="1" applyAlignment="1">
      <alignment horizontal="center" vertical="center" wrapText="1"/>
    </xf>
    <xf numFmtId="0" fontId="0" fillId="36" borderId="0" xfId="0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8" borderId="0" xfId="0" applyFont="1" applyFill="1" applyBorder="1" applyAlignment="1">
      <alignment vertical="center" wrapText="1"/>
    </xf>
    <xf numFmtId="0" fontId="2" fillId="38" borderId="14" xfId="0" applyFont="1" applyFill="1" applyBorder="1" applyAlignment="1">
      <alignment vertical="center" wrapText="1"/>
    </xf>
    <xf numFmtId="0" fontId="2" fillId="38" borderId="15" xfId="0" applyFont="1" applyFill="1" applyBorder="1" applyAlignment="1">
      <alignment vertical="center" wrapText="1"/>
    </xf>
    <xf numFmtId="0" fontId="2" fillId="38" borderId="16" xfId="0" applyFont="1" applyFill="1" applyBorder="1" applyAlignment="1">
      <alignment vertical="center" wrapText="1"/>
    </xf>
    <xf numFmtId="10" fontId="0" fillId="33" borderId="0" xfId="56" applyNumberFormat="1" applyFont="1" applyFill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6" borderId="0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3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21" fillId="0" borderId="0" xfId="42" applyFont="1" applyBorder="1" applyAlignment="1" applyProtection="1">
      <alignment horizontal="justify" vertical="top"/>
      <protection/>
    </xf>
    <xf numFmtId="0" fontId="22" fillId="0" borderId="23" xfId="42" applyFont="1" applyBorder="1" applyAlignment="1" applyProtection="1">
      <alignment horizontal="justify" vertical="top"/>
      <protection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justify" vertical="center" wrapText="1"/>
    </xf>
    <xf numFmtId="43" fontId="5" fillId="0" borderId="0" xfId="59" applyFont="1" applyFill="1" applyAlignment="1">
      <alignment vertical="center" wrapText="1"/>
    </xf>
    <xf numFmtId="43" fontId="5" fillId="0" borderId="0" xfId="59" applyNumberFormat="1" applyFont="1" applyFill="1" applyAlignment="1">
      <alignment vertical="center" wrapText="1"/>
    </xf>
    <xf numFmtId="43" fontId="5" fillId="33" borderId="0" xfId="59" applyFont="1" applyFill="1" applyAlignment="1">
      <alignment vertical="center" wrapText="1"/>
    </xf>
    <xf numFmtId="43" fontId="5" fillId="33" borderId="0" xfId="59" applyNumberFormat="1" applyFont="1" applyFill="1" applyAlignment="1">
      <alignment vertical="center" wrapText="1"/>
    </xf>
    <xf numFmtId="167" fontId="0" fillId="0" borderId="0" xfId="59" applyNumberFormat="1" applyFont="1" applyAlignment="1">
      <alignment vertical="center" wrapText="1"/>
    </xf>
    <xf numFmtId="10" fontId="28" fillId="39" borderId="0" xfId="56" applyNumberFormat="1" applyFont="1" applyFill="1" applyAlignment="1">
      <alignment vertical="center"/>
    </xf>
    <xf numFmtId="43" fontId="5" fillId="40" borderId="0" xfId="59" applyFont="1" applyFill="1" applyAlignment="1">
      <alignment vertical="center" wrapText="1"/>
    </xf>
    <xf numFmtId="43" fontId="5" fillId="40" borderId="0" xfId="0" applyNumberFormat="1" applyFont="1" applyFill="1" applyAlignment="1">
      <alignment vertical="center" wrapText="1"/>
    </xf>
    <xf numFmtId="43" fontId="28" fillId="36" borderId="0" xfId="59" applyFont="1" applyFill="1" applyAlignment="1">
      <alignment horizontal="center" vertical="center" wrapText="1"/>
    </xf>
    <xf numFmtId="0" fontId="2" fillId="38" borderId="10" xfId="0" applyFont="1" applyFill="1" applyBorder="1" applyAlignment="1">
      <alignment vertical="center"/>
    </xf>
    <xf numFmtId="0" fontId="2" fillId="38" borderId="14" xfId="0" applyFont="1" applyFill="1" applyBorder="1" applyAlignment="1">
      <alignment vertical="center"/>
    </xf>
    <xf numFmtId="0" fontId="2" fillId="38" borderId="30" xfId="0" applyFont="1" applyFill="1" applyBorder="1" applyAlignment="1">
      <alignment vertical="center"/>
    </xf>
    <xf numFmtId="0" fontId="2" fillId="38" borderId="3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8" borderId="15" xfId="0" applyFont="1" applyFill="1" applyBorder="1" applyAlignment="1">
      <alignment vertical="center"/>
    </xf>
    <xf numFmtId="0" fontId="2" fillId="38" borderId="16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10" fontId="2" fillId="38" borderId="10" xfId="56" applyNumberFormat="1" applyFont="1" applyFill="1" applyBorder="1" applyAlignment="1">
      <alignment vertical="center"/>
    </xf>
    <xf numFmtId="164" fontId="2" fillId="38" borderId="14" xfId="56" applyNumberFormat="1" applyFont="1" applyFill="1" applyBorder="1" applyAlignment="1">
      <alignment vertical="center"/>
    </xf>
    <xf numFmtId="10" fontId="2" fillId="38" borderId="15" xfId="56" applyNumberFormat="1" applyFont="1" applyFill="1" applyBorder="1" applyAlignment="1">
      <alignment vertical="center"/>
    </xf>
    <xf numFmtId="164" fontId="2" fillId="38" borderId="0" xfId="56" applyNumberFormat="1" applyFont="1" applyFill="1" applyBorder="1" applyAlignment="1">
      <alignment vertical="center"/>
    </xf>
    <xf numFmtId="164" fontId="2" fillId="38" borderId="16" xfId="56" applyNumberFormat="1" applyFont="1" applyFill="1" applyBorder="1" applyAlignment="1">
      <alignment vertical="center"/>
    </xf>
    <xf numFmtId="0" fontId="2" fillId="38" borderId="33" xfId="0" applyFont="1" applyFill="1" applyBorder="1" applyAlignment="1">
      <alignment vertical="center"/>
    </xf>
    <xf numFmtId="0" fontId="2" fillId="38" borderId="34" xfId="0" applyFont="1" applyFill="1" applyBorder="1" applyAlignment="1">
      <alignment vertical="center"/>
    </xf>
    <xf numFmtId="0" fontId="2" fillId="38" borderId="35" xfId="0" applyFont="1" applyFill="1" applyBorder="1" applyAlignment="1">
      <alignment vertical="center"/>
    </xf>
    <xf numFmtId="0" fontId="2" fillId="38" borderId="36" xfId="0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2" fillId="38" borderId="37" xfId="0" applyFont="1" applyFill="1" applyBorder="1" applyAlignment="1">
      <alignment vertical="center"/>
    </xf>
    <xf numFmtId="0" fontId="2" fillId="38" borderId="38" xfId="0" applyFont="1" applyFill="1" applyBorder="1" applyAlignment="1">
      <alignment vertical="center"/>
    </xf>
    <xf numFmtId="0" fontId="2" fillId="38" borderId="32" xfId="0" applyFont="1" applyFill="1" applyBorder="1" applyAlignment="1">
      <alignment vertical="center"/>
    </xf>
    <xf numFmtId="43" fontId="0" fillId="0" borderId="31" xfId="59" applyFont="1" applyFill="1" applyBorder="1" applyAlignment="1">
      <alignment vertical="center" wrapText="1"/>
    </xf>
    <xf numFmtId="43" fontId="0" fillId="0" borderId="31" xfId="59" applyFont="1" applyBorder="1" applyAlignment="1">
      <alignment vertical="center" wrapText="1"/>
    </xf>
    <xf numFmtId="10" fontId="4" fillId="36" borderId="31" xfId="56" applyNumberFormat="1" applyFont="1" applyFill="1" applyBorder="1" applyAlignment="1">
      <alignment vertical="center" wrapText="1"/>
    </xf>
    <xf numFmtId="10" fontId="4" fillId="37" borderId="31" xfId="56" applyNumberFormat="1" applyFont="1" applyFill="1" applyBorder="1" applyAlignment="1">
      <alignment horizontal="center" vertical="center" wrapText="1"/>
    </xf>
    <xf numFmtId="10" fontId="3" fillId="0" borderId="31" xfId="56" applyNumberFormat="1" applyFont="1" applyBorder="1" applyAlignment="1">
      <alignment vertical="center" wrapText="1"/>
    </xf>
    <xf numFmtId="10" fontId="0" fillId="0" borderId="31" xfId="56" applyNumberFormat="1" applyFont="1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165" fontId="0" fillId="0" borderId="31" xfId="56" applyNumberFormat="1" applyFont="1" applyFill="1" applyBorder="1" applyAlignment="1">
      <alignment vertical="center" wrapText="1"/>
    </xf>
    <xf numFmtId="9" fontId="0" fillId="0" borderId="31" xfId="56" applyFont="1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0" fillId="38" borderId="3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3" fontId="0" fillId="33" borderId="0" xfId="59" applyFont="1" applyFill="1" applyBorder="1" applyAlignment="1">
      <alignment vertical="center" wrapText="1"/>
    </xf>
    <xf numFmtId="167" fontId="0" fillId="33" borderId="0" xfId="59" applyNumberFormat="1" applyFont="1" applyFill="1" applyBorder="1" applyAlignment="1">
      <alignment vertical="center" wrapText="1"/>
    </xf>
    <xf numFmtId="43" fontId="5" fillId="40" borderId="0" xfId="59" applyFont="1" applyFill="1" applyBorder="1" applyAlignment="1">
      <alignment vertical="center" wrapText="1"/>
    </xf>
    <xf numFmtId="43" fontId="5" fillId="0" borderId="0" xfId="59" applyFont="1" applyBorder="1" applyAlignment="1">
      <alignment vertical="center" wrapText="1"/>
    </xf>
    <xf numFmtId="43" fontId="5" fillId="0" borderId="0" xfId="59" applyNumberFormat="1" applyFont="1" applyBorder="1" applyAlignment="1">
      <alignment vertical="center" wrapText="1"/>
    </xf>
    <xf numFmtId="10" fontId="4" fillId="36" borderId="0" xfId="56" applyNumberFormat="1" applyFont="1" applyFill="1" applyBorder="1" applyAlignment="1">
      <alignment vertical="center" wrapText="1"/>
    </xf>
    <xf numFmtId="10" fontId="4" fillId="37" borderId="0" xfId="56" applyNumberFormat="1" applyFont="1" applyFill="1" applyBorder="1" applyAlignment="1">
      <alignment horizontal="center" vertical="center" wrapText="1"/>
    </xf>
    <xf numFmtId="43" fontId="0" fillId="0" borderId="0" xfId="59" applyFont="1" applyBorder="1" applyAlignment="1">
      <alignment vertical="center" wrapText="1"/>
    </xf>
    <xf numFmtId="10" fontId="0" fillId="0" borderId="0" xfId="56" applyNumberFormat="1" applyFont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65" fontId="0" fillId="0" borderId="0" xfId="56" applyNumberFormat="1" applyFont="1" applyFill="1" applyBorder="1" applyAlignment="1">
      <alignment vertical="center" wrapText="1"/>
    </xf>
    <xf numFmtId="9" fontId="0" fillId="0" borderId="0" xfId="56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38" borderId="0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167" fontId="0" fillId="0" borderId="0" xfId="59" applyNumberFormat="1" applyFont="1" applyFill="1" applyBorder="1" applyAlignment="1">
      <alignment vertical="center" wrapText="1"/>
    </xf>
    <xf numFmtId="43" fontId="0" fillId="0" borderId="0" xfId="59" applyFont="1" applyFill="1" applyBorder="1" applyAlignment="1">
      <alignment vertical="center" wrapText="1"/>
    </xf>
    <xf numFmtId="167" fontId="0" fillId="0" borderId="0" xfId="59" applyNumberFormat="1" applyFont="1" applyBorder="1" applyAlignment="1">
      <alignment vertical="center" wrapText="1"/>
    </xf>
    <xf numFmtId="168" fontId="9" fillId="33" borderId="0" xfId="59" applyNumberFormat="1" applyFont="1" applyFill="1" applyBorder="1" applyAlignment="1">
      <alignment vertical="center" wrapText="1"/>
    </xf>
    <xf numFmtId="167" fontId="5" fillId="0" borderId="0" xfId="59" applyNumberFormat="1" applyFont="1" applyBorder="1" applyAlignment="1">
      <alignment vertical="center" wrapText="1"/>
    </xf>
    <xf numFmtId="43" fontId="0" fillId="0" borderId="0" xfId="59" applyFont="1" applyBorder="1" applyAlignment="1">
      <alignment vertical="center" wrapText="1"/>
    </xf>
    <xf numFmtId="167" fontId="0" fillId="0" borderId="0" xfId="59" applyNumberFormat="1" applyFont="1" applyBorder="1" applyAlignment="1">
      <alignment vertical="center" wrapText="1"/>
    </xf>
    <xf numFmtId="169" fontId="5" fillId="0" borderId="0" xfId="59" applyNumberFormat="1" applyFont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0" fontId="2" fillId="38" borderId="41" xfId="0" applyFont="1" applyFill="1" applyBorder="1" applyAlignment="1">
      <alignment vertical="center"/>
    </xf>
    <xf numFmtId="0" fontId="2" fillId="38" borderId="42" xfId="0" applyFont="1" applyFill="1" applyBorder="1" applyAlignment="1">
      <alignment vertical="center"/>
    </xf>
    <xf numFmtId="0" fontId="2" fillId="38" borderId="39" xfId="0" applyFont="1" applyFill="1" applyBorder="1" applyAlignment="1">
      <alignment vertical="center"/>
    </xf>
    <xf numFmtId="0" fontId="2" fillId="38" borderId="40" xfId="0" applyFont="1" applyFill="1" applyBorder="1" applyAlignment="1">
      <alignment vertical="center"/>
    </xf>
    <xf numFmtId="0" fontId="2" fillId="38" borderId="43" xfId="0" applyFont="1" applyFill="1" applyBorder="1" applyAlignment="1">
      <alignment vertical="center"/>
    </xf>
    <xf numFmtId="43" fontId="5" fillId="40" borderId="40" xfId="59" applyFont="1" applyFill="1" applyBorder="1" applyAlignment="1">
      <alignment vertical="center" wrapText="1"/>
    </xf>
    <xf numFmtId="43" fontId="5" fillId="0" borderId="40" xfId="59" applyFont="1" applyBorder="1" applyAlignment="1">
      <alignment vertical="center" wrapText="1"/>
    </xf>
    <xf numFmtId="43" fontId="5" fillId="0" borderId="40" xfId="59" applyNumberFormat="1" applyFont="1" applyBorder="1" applyAlignment="1">
      <alignment vertical="center" wrapText="1"/>
    </xf>
    <xf numFmtId="10" fontId="4" fillId="36" borderId="40" xfId="56" applyNumberFormat="1" applyFont="1" applyFill="1" applyBorder="1" applyAlignment="1">
      <alignment vertical="center" wrapText="1"/>
    </xf>
    <xf numFmtId="10" fontId="4" fillId="37" borderId="40" xfId="56" applyNumberFormat="1" applyFont="1" applyFill="1" applyBorder="1" applyAlignment="1">
      <alignment horizontal="center" vertical="center" wrapText="1"/>
    </xf>
    <xf numFmtId="167" fontId="0" fillId="0" borderId="40" xfId="59" applyNumberFormat="1" applyFont="1" applyBorder="1" applyAlignment="1">
      <alignment vertical="center" wrapText="1"/>
    </xf>
    <xf numFmtId="43" fontId="0" fillId="0" borderId="40" xfId="59" applyFont="1" applyBorder="1" applyAlignment="1">
      <alignment vertical="center" wrapText="1"/>
    </xf>
    <xf numFmtId="10" fontId="0" fillId="0" borderId="40" xfId="56" applyNumberFormat="1" applyFont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165" fontId="0" fillId="0" borderId="40" xfId="56" applyNumberFormat="1" applyFont="1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38" borderId="40" xfId="0" applyFill="1" applyBorder="1" applyAlignment="1">
      <alignment vertical="center" wrapText="1"/>
    </xf>
    <xf numFmtId="0" fontId="2" fillId="38" borderId="44" xfId="0" applyFont="1" applyFill="1" applyBorder="1" applyAlignment="1">
      <alignment vertical="center"/>
    </xf>
    <xf numFmtId="0" fontId="2" fillId="38" borderId="45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7" fontId="0" fillId="0" borderId="31" xfId="59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vertical="center"/>
    </xf>
    <xf numFmtId="43" fontId="0" fillId="0" borderId="40" xfId="59" applyFont="1" applyFill="1" applyBorder="1" applyAlignment="1">
      <alignment vertical="center" wrapText="1"/>
    </xf>
    <xf numFmtId="43" fontId="0" fillId="0" borderId="0" xfId="59" applyFont="1" applyFill="1" applyBorder="1" applyAlignment="1">
      <alignment vertical="center" wrapText="1"/>
    </xf>
    <xf numFmtId="43" fontId="0" fillId="0" borderId="40" xfId="59" applyFont="1" applyFill="1" applyBorder="1" applyAlignment="1">
      <alignment vertical="center" wrapText="1"/>
    </xf>
    <xf numFmtId="43" fontId="0" fillId="0" borderId="31" xfId="59" applyFont="1" applyFill="1" applyBorder="1" applyAlignment="1">
      <alignment vertical="center" wrapText="1"/>
    </xf>
    <xf numFmtId="167" fontId="0" fillId="0" borderId="0" xfId="59" applyNumberFormat="1" applyFont="1" applyFill="1" applyBorder="1" applyAlignment="1">
      <alignment vertical="center" wrapText="1"/>
    </xf>
    <xf numFmtId="43" fontId="5" fillId="40" borderId="10" xfId="59" applyFont="1" applyFill="1" applyBorder="1" applyAlignment="1">
      <alignment vertical="center" wrapText="1"/>
    </xf>
    <xf numFmtId="43" fontId="5" fillId="40" borderId="10" xfId="0" applyNumberFormat="1" applyFont="1" applyFill="1" applyBorder="1" applyAlignment="1">
      <alignment vertical="center" wrapText="1"/>
    </xf>
    <xf numFmtId="43" fontId="5" fillId="0" borderId="10" xfId="59" applyFont="1" applyBorder="1" applyAlignment="1">
      <alignment vertical="center" wrapText="1"/>
    </xf>
    <xf numFmtId="43" fontId="5" fillId="0" borderId="10" xfId="59" applyNumberFormat="1" applyFont="1" applyBorder="1" applyAlignment="1">
      <alignment vertical="center" wrapText="1"/>
    </xf>
    <xf numFmtId="43" fontId="5" fillId="33" borderId="10" xfId="0" applyNumberFormat="1" applyFont="1" applyFill="1" applyBorder="1" applyAlignment="1">
      <alignment vertical="center" wrapText="1"/>
    </xf>
    <xf numFmtId="43" fontId="5" fillId="0" borderId="10" xfId="59" applyNumberFormat="1" applyFont="1" applyBorder="1" applyAlignment="1">
      <alignment horizontal="left" vertical="center" wrapText="1"/>
    </xf>
    <xf numFmtId="43" fontId="5" fillId="40" borderId="37" xfId="59" applyFont="1" applyFill="1" applyBorder="1" applyAlignment="1">
      <alignment vertical="center" wrapText="1"/>
    </xf>
    <xf numFmtId="43" fontId="5" fillId="0" borderId="37" xfId="59" applyFont="1" applyBorder="1" applyAlignment="1">
      <alignment vertical="center" wrapText="1"/>
    </xf>
    <xf numFmtId="43" fontId="5" fillId="0" borderId="37" xfId="59" applyNumberFormat="1" applyFont="1" applyBorder="1" applyAlignment="1">
      <alignment vertical="center" wrapText="1"/>
    </xf>
    <xf numFmtId="43" fontId="5" fillId="40" borderId="41" xfId="59" applyFont="1" applyFill="1" applyBorder="1" applyAlignment="1">
      <alignment vertical="center" wrapText="1"/>
    </xf>
    <xf numFmtId="43" fontId="5" fillId="0" borderId="41" xfId="59" applyFont="1" applyBorder="1" applyAlignment="1">
      <alignment vertical="center" wrapText="1"/>
    </xf>
    <xf numFmtId="43" fontId="5" fillId="0" borderId="41" xfId="59" applyNumberFormat="1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43" fontId="4" fillId="36" borderId="40" xfId="59" applyFont="1" applyFill="1" applyBorder="1" applyAlignment="1">
      <alignment vertical="center" wrapText="1"/>
    </xf>
    <xf numFmtId="43" fontId="4" fillId="37" borderId="40" xfId="59" applyFont="1" applyFill="1" applyBorder="1" applyAlignment="1">
      <alignment horizontal="center" vertical="center" wrapText="1"/>
    </xf>
    <xf numFmtId="9" fontId="0" fillId="0" borderId="40" xfId="56" applyFont="1" applyFill="1" applyBorder="1" applyAlignment="1">
      <alignment vertical="center" wrapText="1"/>
    </xf>
    <xf numFmtId="43" fontId="5" fillId="33" borderId="10" xfId="59" applyFont="1" applyFill="1" applyBorder="1" applyAlignment="1">
      <alignment vertical="center" wrapText="1"/>
    </xf>
    <xf numFmtId="43" fontId="5" fillId="0" borderId="38" xfId="59" applyNumberFormat="1" applyFont="1" applyBorder="1" applyAlignment="1">
      <alignment vertical="center" wrapText="1"/>
    </xf>
    <xf numFmtId="43" fontId="5" fillId="0" borderId="14" xfId="59" applyNumberFormat="1" applyFont="1" applyBorder="1" applyAlignment="1">
      <alignment vertical="center" wrapText="1"/>
    </xf>
    <xf numFmtId="43" fontId="5" fillId="33" borderId="14" xfId="59" applyNumberFormat="1" applyFont="1" applyFill="1" applyBorder="1" applyAlignment="1">
      <alignment vertical="center" wrapText="1"/>
    </xf>
    <xf numFmtId="43" fontId="5" fillId="0" borderId="42" xfId="59" applyNumberFormat="1" applyFont="1" applyBorder="1" applyAlignment="1">
      <alignment vertical="center" wrapText="1"/>
    </xf>
    <xf numFmtId="43" fontId="5" fillId="33" borderId="14" xfId="59" applyNumberFormat="1" applyFont="1" applyFill="1" applyBorder="1" applyAlignment="1">
      <alignment horizontal="left" vertical="center" wrapText="1"/>
    </xf>
    <xf numFmtId="168" fontId="9" fillId="0" borderId="0" xfId="59" applyNumberFormat="1" applyFont="1" applyFill="1" applyBorder="1" applyAlignment="1">
      <alignment vertical="center" wrapText="1"/>
    </xf>
    <xf numFmtId="43" fontId="5" fillId="33" borderId="0" xfId="59" applyFont="1" applyFill="1" applyBorder="1" applyAlignment="1">
      <alignment vertical="center" wrapText="1"/>
    </xf>
    <xf numFmtId="10" fontId="0" fillId="0" borderId="0" xfId="56" applyNumberFormat="1" applyFont="1" applyFill="1" applyBorder="1" applyAlignment="1">
      <alignment vertical="center" wrapText="1"/>
    </xf>
    <xf numFmtId="10" fontId="0" fillId="0" borderId="40" xfId="56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38" borderId="0" xfId="0" applyFont="1" applyFill="1" applyBorder="1" applyAlignment="1">
      <alignment vertical="center" wrapText="1"/>
    </xf>
    <xf numFmtId="0" fontId="14" fillId="38" borderId="0" xfId="0" applyFont="1" applyFill="1" applyBorder="1" applyAlignment="1">
      <alignment vertical="center"/>
    </xf>
    <xf numFmtId="43" fontId="14" fillId="33" borderId="0" xfId="59" applyFont="1" applyFill="1" applyBorder="1" applyAlignment="1">
      <alignment vertical="center" wrapText="1"/>
    </xf>
    <xf numFmtId="43" fontId="14" fillId="0" borderId="0" xfId="59" applyFont="1" applyBorder="1" applyAlignment="1">
      <alignment vertical="center" wrapText="1"/>
    </xf>
    <xf numFmtId="43" fontId="17" fillId="40" borderId="0" xfId="59" applyFont="1" applyFill="1" applyBorder="1" applyAlignment="1">
      <alignment vertical="center" wrapText="1"/>
    </xf>
    <xf numFmtId="10" fontId="30" fillId="36" borderId="0" xfId="56" applyNumberFormat="1" applyFont="1" applyFill="1" applyBorder="1" applyAlignment="1">
      <alignment vertical="center" wrapText="1"/>
    </xf>
    <xf numFmtId="10" fontId="31" fillId="37" borderId="0" xfId="56" applyNumberFormat="1" applyFont="1" applyFill="1" applyBorder="1" applyAlignment="1">
      <alignment horizontal="center" vertical="center" wrapText="1"/>
    </xf>
    <xf numFmtId="43" fontId="31" fillId="37" borderId="0" xfId="59" applyFont="1" applyFill="1" applyBorder="1" applyAlignment="1">
      <alignment vertical="center" wrapText="1"/>
    </xf>
    <xf numFmtId="10" fontId="14" fillId="0" borderId="0" xfId="56" applyNumberFormat="1" applyFont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5" fontId="14" fillId="0" borderId="0" xfId="56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3" fontId="14" fillId="0" borderId="0" xfId="59" applyFont="1" applyFill="1" applyBorder="1" applyAlignment="1">
      <alignment vertical="center" wrapText="1"/>
    </xf>
    <xf numFmtId="43" fontId="17" fillId="40" borderId="10" xfId="59" applyFont="1" applyFill="1" applyBorder="1" applyAlignment="1">
      <alignment vertical="center" wrapText="1"/>
    </xf>
    <xf numFmtId="43" fontId="17" fillId="0" borderId="10" xfId="59" applyFont="1" applyBorder="1" applyAlignment="1">
      <alignment vertical="center" wrapText="1"/>
    </xf>
    <xf numFmtId="43" fontId="17" fillId="0" borderId="10" xfId="59" applyNumberFormat="1" applyFont="1" applyBorder="1" applyAlignment="1">
      <alignment vertical="center" wrapText="1"/>
    </xf>
    <xf numFmtId="43" fontId="17" fillId="40" borderId="10" xfId="0" applyNumberFormat="1" applyFont="1" applyFill="1" applyBorder="1" applyAlignment="1">
      <alignment vertical="center" wrapText="1"/>
    </xf>
    <xf numFmtId="43" fontId="17" fillId="33" borderId="10" xfId="0" applyNumberFormat="1" applyFont="1" applyFill="1" applyBorder="1" applyAlignment="1">
      <alignment vertical="center" wrapText="1"/>
    </xf>
    <xf numFmtId="43" fontId="17" fillId="0" borderId="0" xfId="59" applyFont="1" applyBorder="1" applyAlignment="1">
      <alignment vertical="center" wrapText="1"/>
    </xf>
    <xf numFmtId="43" fontId="17" fillId="0" borderId="0" xfId="59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4" fontId="14" fillId="38" borderId="0" xfId="56" applyNumberFormat="1" applyFont="1" applyFill="1" applyBorder="1" applyAlignment="1">
      <alignment vertical="center"/>
    </xf>
    <xf numFmtId="167" fontId="14" fillId="0" borderId="0" xfId="59" applyNumberFormat="1" applyFont="1" applyFill="1" applyBorder="1" applyAlignment="1">
      <alignment vertical="center" wrapText="1"/>
    </xf>
    <xf numFmtId="9" fontId="14" fillId="0" borderId="0" xfId="56" applyFont="1" applyFill="1" applyBorder="1" applyAlignment="1">
      <alignment vertical="center" wrapText="1"/>
    </xf>
    <xf numFmtId="43" fontId="17" fillId="33" borderId="10" xfId="59" applyFont="1" applyFill="1" applyBorder="1" applyAlignment="1">
      <alignment vertical="center" wrapText="1"/>
    </xf>
    <xf numFmtId="167" fontId="14" fillId="33" borderId="0" xfId="59" applyNumberFormat="1" applyFont="1" applyFill="1" applyBorder="1" applyAlignment="1">
      <alignment vertical="center" wrapText="1"/>
    </xf>
    <xf numFmtId="168" fontId="32" fillId="0" borderId="0" xfId="59" applyNumberFormat="1" applyFont="1" applyFill="1" applyBorder="1" applyAlignment="1">
      <alignment vertical="center" wrapText="1"/>
    </xf>
    <xf numFmtId="167" fontId="14" fillId="0" borderId="0" xfId="59" applyNumberFormat="1" applyFont="1" applyBorder="1" applyAlignment="1">
      <alignment vertical="center" wrapText="1"/>
    </xf>
    <xf numFmtId="168" fontId="32" fillId="33" borderId="0" xfId="59" applyNumberFormat="1" applyFont="1" applyFill="1" applyBorder="1" applyAlignment="1">
      <alignment vertical="center" wrapText="1"/>
    </xf>
    <xf numFmtId="43" fontId="17" fillId="0" borderId="10" xfId="59" applyNumberFormat="1" applyFont="1" applyBorder="1" applyAlignment="1">
      <alignment horizontal="left" vertical="center" wrapText="1"/>
    </xf>
    <xf numFmtId="49" fontId="14" fillId="38" borderId="0" xfId="0" applyNumberFormat="1" applyFont="1" applyFill="1" applyBorder="1" applyAlignment="1">
      <alignment vertical="center"/>
    </xf>
    <xf numFmtId="10" fontId="14" fillId="0" borderId="0" xfId="56" applyNumberFormat="1" applyFont="1" applyBorder="1" applyAlignment="1">
      <alignment horizontal="center" vertical="center" wrapText="1"/>
    </xf>
    <xf numFmtId="43" fontId="29" fillId="36" borderId="0" xfId="59" applyFont="1" applyFill="1" applyBorder="1" applyAlignment="1">
      <alignment horizontal="center" vertical="center" wrapText="1"/>
    </xf>
    <xf numFmtId="43" fontId="30" fillId="36" borderId="0" xfId="59" applyFont="1" applyFill="1" applyBorder="1" applyAlignment="1">
      <alignment vertical="center" wrapText="1"/>
    </xf>
    <xf numFmtId="43" fontId="31" fillId="37" borderId="0" xfId="59" applyFont="1" applyFill="1" applyBorder="1" applyAlignment="1">
      <alignment horizontal="center" vertical="center" wrapText="1"/>
    </xf>
    <xf numFmtId="43" fontId="14" fillId="0" borderId="0" xfId="59" applyFont="1" applyBorder="1" applyAlignment="1">
      <alignment horizontal="center" vertical="center" wrapText="1"/>
    </xf>
    <xf numFmtId="43" fontId="14" fillId="33" borderId="0" xfId="59" applyFont="1" applyFill="1" applyBorder="1" applyAlignment="1">
      <alignment horizontal="center" vertical="center"/>
    </xf>
    <xf numFmtId="43" fontId="14" fillId="33" borderId="0" xfId="59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38" borderId="0" xfId="0" applyFont="1" applyFill="1" applyBorder="1" applyAlignment="1">
      <alignment vertical="center" wrapText="1"/>
    </xf>
    <xf numFmtId="43" fontId="30" fillId="36" borderId="0" xfId="59" applyFont="1" applyFill="1" applyBorder="1" applyAlignment="1">
      <alignment horizontal="center" vertical="center" wrapText="1"/>
    </xf>
    <xf numFmtId="9" fontId="17" fillId="0" borderId="0" xfId="56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vertical="center" wrapText="1"/>
    </xf>
    <xf numFmtId="10" fontId="31" fillId="37" borderId="0" xfId="56" applyNumberFormat="1" applyFont="1" applyFill="1" applyBorder="1" applyAlignment="1">
      <alignment vertical="center" wrapText="1"/>
    </xf>
    <xf numFmtId="10" fontId="29" fillId="39" borderId="0" xfId="56" applyNumberFormat="1" applyFont="1" applyFill="1" applyBorder="1" applyAlignment="1">
      <alignment horizontal="center" vertical="center"/>
    </xf>
    <xf numFmtId="10" fontId="29" fillId="39" borderId="0" xfId="56" applyNumberFormat="1" applyFont="1" applyFill="1" applyBorder="1" applyAlignment="1">
      <alignment vertical="center"/>
    </xf>
    <xf numFmtId="10" fontId="14" fillId="38" borderId="0" xfId="56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59" applyNumberFormat="1" applyFont="1" applyBorder="1" applyAlignment="1">
      <alignment vertical="center" wrapText="1"/>
    </xf>
    <xf numFmtId="49" fontId="14" fillId="0" borderId="0" xfId="59" applyNumberFormat="1" applyFont="1" applyFill="1" applyBorder="1" applyAlignment="1">
      <alignment vertical="center" wrapText="1"/>
    </xf>
    <xf numFmtId="49" fontId="30" fillId="36" borderId="0" xfId="56" applyNumberFormat="1" applyFont="1" applyFill="1" applyBorder="1" applyAlignment="1">
      <alignment vertical="center" wrapText="1"/>
    </xf>
    <xf numFmtId="49" fontId="31" fillId="37" borderId="0" xfId="56" applyNumberFormat="1" applyFont="1" applyFill="1" applyBorder="1" applyAlignment="1">
      <alignment horizontal="center" vertical="center" wrapText="1"/>
    </xf>
    <xf numFmtId="49" fontId="14" fillId="0" borderId="0" xfId="56" applyNumberFormat="1" applyFont="1" applyBorder="1" applyAlignment="1">
      <alignment horizontal="center" vertical="center" wrapText="1"/>
    </xf>
    <xf numFmtId="49" fontId="31" fillId="37" borderId="0" xfId="59" applyNumberFormat="1" applyFont="1" applyFill="1" applyBorder="1" applyAlignment="1">
      <alignment vertical="center" wrapText="1"/>
    </xf>
    <xf numFmtId="49" fontId="14" fillId="33" borderId="0" xfId="0" applyNumberFormat="1" applyFont="1" applyFill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49" fontId="14" fillId="0" borderId="0" xfId="56" applyNumberFormat="1" applyFont="1" applyFill="1" applyBorder="1" applyAlignment="1">
      <alignment vertical="center" wrapText="1"/>
    </xf>
    <xf numFmtId="49" fontId="14" fillId="38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43" fontId="17" fillId="33" borderId="10" xfId="59" applyNumberFormat="1" applyFont="1" applyFill="1" applyBorder="1" applyAlignment="1">
      <alignment vertical="center" wrapText="1"/>
    </xf>
    <xf numFmtId="43" fontId="17" fillId="0" borderId="10" xfId="59" applyFont="1" applyFill="1" applyBorder="1" applyAlignment="1">
      <alignment vertical="center" wrapText="1"/>
    </xf>
    <xf numFmtId="43" fontId="17" fillId="0" borderId="10" xfId="59" applyNumberFormat="1" applyFont="1" applyFill="1" applyBorder="1" applyAlignment="1">
      <alignment vertical="center" wrapText="1"/>
    </xf>
    <xf numFmtId="43" fontId="17" fillId="33" borderId="10" xfId="59" applyNumberFormat="1" applyFont="1" applyFill="1" applyBorder="1" applyAlignment="1">
      <alignment horizontal="left" vertical="center" wrapText="1"/>
    </xf>
    <xf numFmtId="49" fontId="17" fillId="40" borderId="10" xfId="59" applyNumberFormat="1" applyFont="1" applyFill="1" applyBorder="1" applyAlignment="1">
      <alignment vertical="center" wrapText="1"/>
    </xf>
    <xf numFmtId="49" fontId="17" fillId="0" borderId="10" xfId="59" applyNumberFormat="1" applyFont="1" applyBorder="1" applyAlignment="1">
      <alignment vertical="center" wrapText="1"/>
    </xf>
    <xf numFmtId="10" fontId="14" fillId="33" borderId="10" xfId="56" applyNumberFormat="1" applyFont="1" applyFill="1" applyBorder="1" applyAlignment="1">
      <alignment horizontal="center" vertical="center" wrapText="1"/>
    </xf>
    <xf numFmtId="43" fontId="14" fillId="33" borderId="10" xfId="59" applyFont="1" applyFill="1" applyBorder="1" applyAlignment="1">
      <alignment vertical="center" wrapText="1"/>
    </xf>
    <xf numFmtId="43" fontId="31" fillId="37" borderId="10" xfId="59" applyFont="1" applyFill="1" applyBorder="1" applyAlignment="1">
      <alignment vertical="center" wrapText="1"/>
    </xf>
    <xf numFmtId="10" fontId="14" fillId="0" borderId="10" xfId="56" applyNumberFormat="1" applyFont="1" applyBorder="1" applyAlignment="1">
      <alignment horizontal="center" vertical="center" wrapText="1"/>
    </xf>
    <xf numFmtId="43" fontId="14" fillId="0" borderId="10" xfId="59" applyFont="1" applyBorder="1" applyAlignment="1">
      <alignment vertical="center" wrapText="1"/>
    </xf>
    <xf numFmtId="10" fontId="29" fillId="39" borderId="0" xfId="56" applyNumberFormat="1" applyFont="1" applyFill="1" applyBorder="1" applyAlignment="1">
      <alignment horizontal="left" vertical="center"/>
    </xf>
    <xf numFmtId="10" fontId="16" fillId="0" borderId="10" xfId="56" applyNumberFormat="1" applyFont="1" applyBorder="1" applyAlignment="1">
      <alignment horizontal="center" vertical="center" wrapText="1"/>
    </xf>
    <xf numFmtId="10" fontId="14" fillId="0" borderId="10" xfId="56" applyNumberFormat="1" applyFont="1" applyFill="1" applyBorder="1" applyAlignment="1">
      <alignment horizontal="center" vertical="center" wrapText="1"/>
    </xf>
    <xf numFmtId="167" fontId="14" fillId="33" borderId="10" xfId="59" applyNumberFormat="1" applyFont="1" applyFill="1" applyBorder="1" applyAlignment="1">
      <alignment vertical="center" wrapText="1"/>
    </xf>
    <xf numFmtId="167" fontId="17" fillId="0" borderId="10" xfId="59" applyNumberFormat="1" applyFont="1" applyBorder="1" applyAlignment="1">
      <alignment vertical="center" wrapText="1"/>
    </xf>
    <xf numFmtId="167" fontId="14" fillId="0" borderId="10" xfId="59" applyNumberFormat="1" applyFont="1" applyBorder="1" applyAlignment="1">
      <alignment vertical="center" wrapText="1"/>
    </xf>
    <xf numFmtId="169" fontId="17" fillId="0" borderId="10" xfId="59" applyNumberFormat="1" applyFont="1" applyBorder="1" applyAlignment="1">
      <alignment vertical="center" wrapText="1"/>
    </xf>
    <xf numFmtId="9" fontId="14" fillId="0" borderId="10" xfId="56" applyFont="1" applyFill="1" applyBorder="1" applyAlignment="1">
      <alignment horizontal="center" vertical="center" wrapText="1"/>
    </xf>
    <xf numFmtId="43" fontId="14" fillId="0" borderId="10" xfId="59" applyFont="1" applyBorder="1" applyAlignment="1">
      <alignment horizontal="center" vertical="center" wrapText="1"/>
    </xf>
    <xf numFmtId="43" fontId="30" fillId="0" borderId="0" xfId="59" applyFont="1" applyBorder="1" applyAlignment="1">
      <alignment vertical="center" wrapText="1"/>
    </xf>
    <xf numFmtId="0" fontId="29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 wrapText="1"/>
    </xf>
    <xf numFmtId="43" fontId="29" fillId="36" borderId="0" xfId="59" applyFont="1" applyFill="1" applyBorder="1" applyAlignment="1">
      <alignment vertical="center" wrapText="1"/>
    </xf>
    <xf numFmtId="43" fontId="29" fillId="36" borderId="0" xfId="59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10" fontId="30" fillId="0" borderId="0" xfId="56" applyNumberFormat="1" applyFont="1" applyBorder="1" applyAlignment="1">
      <alignment horizontal="center" vertical="center" wrapText="1"/>
    </xf>
    <xf numFmtId="10" fontId="30" fillId="0" borderId="0" xfId="56" applyNumberFormat="1" applyFont="1" applyBorder="1" applyAlignment="1">
      <alignment vertical="center" wrapText="1"/>
    </xf>
    <xf numFmtId="43" fontId="30" fillId="0" borderId="0" xfId="56" applyNumberFormat="1" applyFont="1" applyBorder="1" applyAlignment="1">
      <alignment vertical="center" wrapText="1"/>
    </xf>
    <xf numFmtId="43" fontId="31" fillId="37" borderId="14" xfId="59" applyFont="1" applyFill="1" applyBorder="1" applyAlignment="1">
      <alignment vertical="center" wrapText="1"/>
    </xf>
    <xf numFmtId="43" fontId="0" fillId="0" borderId="0" xfId="59" applyFont="1" applyAlignment="1">
      <alignment/>
    </xf>
    <xf numFmtId="43" fontId="0" fillId="0" borderId="0" xfId="59" applyFont="1" applyAlignment="1">
      <alignment horizontal="right"/>
    </xf>
    <xf numFmtId="43" fontId="0" fillId="40" borderId="0" xfId="59" applyFont="1" applyFill="1" applyAlignment="1">
      <alignment horizontal="right"/>
    </xf>
    <xf numFmtId="0" fontId="35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36" borderId="0" xfId="0" applyFont="1" applyFill="1" applyAlignment="1">
      <alignment horizontal="center" vertical="center" wrapText="1"/>
    </xf>
    <xf numFmtId="0" fontId="33" fillId="38" borderId="0" xfId="0" applyFont="1" applyFill="1" applyAlignment="1">
      <alignment horizontal="center" vertical="center" wrapText="1"/>
    </xf>
    <xf numFmtId="43" fontId="33" fillId="0" borderId="0" xfId="0" applyNumberFormat="1" applyFont="1" applyAlignment="1">
      <alignment horizontal="center" vertical="center" wrapText="1"/>
    </xf>
    <xf numFmtId="0" fontId="36" fillId="36" borderId="46" xfId="0" applyFont="1" applyFill="1" applyBorder="1" applyAlignment="1">
      <alignment horizontal="center" vertical="center" wrapText="1"/>
    </xf>
    <xf numFmtId="43" fontId="33" fillId="0" borderId="10" xfId="0" applyNumberFormat="1" applyFont="1" applyFill="1" applyBorder="1" applyAlignment="1">
      <alignment horizontal="center" vertical="center" wrapText="1"/>
    </xf>
    <xf numFmtId="0" fontId="34" fillId="0" borderId="47" xfId="0" applyNumberFormat="1" applyFont="1" applyFill="1" applyBorder="1" applyAlignment="1">
      <alignment horizontal="center" vertical="center" wrapText="1"/>
    </xf>
    <xf numFmtId="0" fontId="33" fillId="0" borderId="48" xfId="0" applyNumberFormat="1" applyFont="1" applyFill="1" applyBorder="1" applyAlignment="1">
      <alignment horizontal="center" vertical="center" wrapText="1"/>
    </xf>
    <xf numFmtId="0" fontId="33" fillId="36" borderId="48" xfId="0" applyFont="1" applyFill="1" applyBorder="1" applyAlignment="1">
      <alignment horizontal="center" vertical="center" wrapText="1"/>
    </xf>
    <xf numFmtId="9" fontId="33" fillId="0" borderId="48" xfId="0" applyNumberFormat="1" applyFont="1" applyBorder="1" applyAlignment="1">
      <alignment horizontal="center" vertical="center" wrapText="1"/>
    </xf>
    <xf numFmtId="0" fontId="34" fillId="34" borderId="48" xfId="0" applyNumberFormat="1" applyFont="1" applyFill="1" applyBorder="1" applyAlignment="1">
      <alignment horizontal="center" vertical="center" wrapText="1"/>
    </xf>
    <xf numFmtId="9" fontId="33" fillId="0" borderId="48" xfId="0" applyNumberFormat="1" applyFont="1" applyFill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43" fontId="33" fillId="0" borderId="48" xfId="59" applyFont="1" applyBorder="1" applyAlignment="1">
      <alignment horizontal="center" vertical="center" wrapText="1"/>
    </xf>
    <xf numFmtId="0" fontId="33" fillId="38" borderId="48" xfId="0" applyFont="1" applyFill="1" applyBorder="1" applyAlignment="1">
      <alignment horizontal="center" vertical="center" wrapText="1"/>
    </xf>
    <xf numFmtId="43" fontId="33" fillId="0" borderId="48" xfId="0" applyNumberFormat="1" applyFont="1" applyBorder="1" applyAlignment="1">
      <alignment horizontal="center" vertical="center" wrapText="1"/>
    </xf>
    <xf numFmtId="43" fontId="33" fillId="0" borderId="49" xfId="0" applyNumberFormat="1" applyFont="1" applyFill="1" applyBorder="1" applyAlignment="1">
      <alignment horizontal="center" vertical="center" wrapText="1"/>
    </xf>
    <xf numFmtId="0" fontId="34" fillId="0" borderId="50" xfId="0" applyNumberFormat="1" applyFont="1" applyFill="1" applyBorder="1" applyAlignment="1">
      <alignment horizontal="center" vertical="center" wrapText="1"/>
    </xf>
    <xf numFmtId="0" fontId="33" fillId="0" borderId="51" xfId="0" applyNumberFormat="1" applyFont="1" applyFill="1" applyBorder="1" applyAlignment="1">
      <alignment horizontal="center" vertical="center" wrapText="1"/>
    </xf>
    <xf numFmtId="0" fontId="33" fillId="36" borderId="51" xfId="0" applyFont="1" applyFill="1" applyBorder="1" applyAlignment="1">
      <alignment horizontal="center" vertical="center" wrapText="1"/>
    </xf>
    <xf numFmtId="9" fontId="33" fillId="0" borderId="51" xfId="0" applyNumberFormat="1" applyFont="1" applyBorder="1" applyAlignment="1">
      <alignment horizontal="center" vertical="center" wrapText="1"/>
    </xf>
    <xf numFmtId="0" fontId="34" fillId="34" borderId="51" xfId="0" applyNumberFormat="1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43" fontId="33" fillId="0" borderId="51" xfId="59" applyFont="1" applyBorder="1" applyAlignment="1">
      <alignment horizontal="center" vertical="center" wrapText="1"/>
    </xf>
    <xf numFmtId="0" fontId="33" fillId="38" borderId="51" xfId="0" applyFont="1" applyFill="1" applyBorder="1" applyAlignment="1">
      <alignment horizontal="center" vertical="center" wrapText="1"/>
    </xf>
    <xf numFmtId="43" fontId="33" fillId="0" borderId="51" xfId="0" applyNumberFormat="1" applyFont="1" applyBorder="1" applyAlignment="1">
      <alignment horizontal="center" vertical="center" wrapText="1"/>
    </xf>
    <xf numFmtId="0" fontId="33" fillId="41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4" fontId="33" fillId="0" borderId="0" xfId="56" applyNumberFormat="1" applyFont="1" applyAlignment="1">
      <alignment horizontal="center" vertical="center" wrapText="1"/>
    </xf>
    <xf numFmtId="0" fontId="25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38" borderId="10" xfId="0" applyFont="1" applyFill="1" applyBorder="1" applyAlignment="1">
      <alignment vertical="center"/>
    </xf>
    <xf numFmtId="0" fontId="33" fillId="38" borderId="30" xfId="0" applyFont="1" applyFill="1" applyBorder="1" applyAlignment="1">
      <alignment vertical="center"/>
    </xf>
    <xf numFmtId="166" fontId="33" fillId="38" borderId="0" xfId="59" applyNumberFormat="1" applyFont="1" applyFill="1" applyBorder="1" applyAlignment="1">
      <alignment vertical="center"/>
    </xf>
    <xf numFmtId="43" fontId="33" fillId="38" borderId="0" xfId="59" applyFont="1" applyFill="1" applyBorder="1" applyAlignment="1">
      <alignment vertical="center"/>
    </xf>
    <xf numFmtId="43" fontId="33" fillId="38" borderId="10" xfId="59" applyFont="1" applyFill="1" applyBorder="1" applyAlignment="1">
      <alignment vertical="center"/>
    </xf>
    <xf numFmtId="43" fontId="37" fillId="38" borderId="10" xfId="59" applyFont="1" applyFill="1" applyBorder="1" applyAlignment="1">
      <alignment vertical="center"/>
    </xf>
    <xf numFmtId="0" fontId="33" fillId="38" borderId="14" xfId="0" applyFont="1" applyFill="1" applyBorder="1" applyAlignment="1">
      <alignment vertical="center"/>
    </xf>
    <xf numFmtId="43" fontId="33" fillId="0" borderId="0" xfId="59" applyFont="1" applyAlignment="1">
      <alignment vertical="center" wrapText="1"/>
    </xf>
    <xf numFmtId="43" fontId="36" fillId="36" borderId="0" xfId="59" applyFont="1" applyFill="1" applyAlignment="1">
      <alignment horizontal="center" vertical="center" wrapText="1"/>
    </xf>
    <xf numFmtId="43" fontId="34" fillId="0" borderId="0" xfId="59" applyFont="1" applyAlignment="1">
      <alignment vertical="center" wrapText="1"/>
    </xf>
    <xf numFmtId="43" fontId="34" fillId="42" borderId="24" xfId="59" applyFont="1" applyFill="1" applyBorder="1" applyAlignment="1">
      <alignment vertical="center" wrapText="1"/>
    </xf>
    <xf numFmtId="43" fontId="34" fillId="0" borderId="0" xfId="59" applyNumberFormat="1" applyFont="1" applyAlignment="1">
      <alignment vertical="center" wrapText="1"/>
    </xf>
    <xf numFmtId="43" fontId="38" fillId="36" borderId="0" xfId="59" applyFont="1" applyFill="1" applyAlignment="1">
      <alignment vertical="center" wrapText="1"/>
    </xf>
    <xf numFmtId="43" fontId="39" fillId="0" borderId="0" xfId="59" applyFont="1" applyAlignment="1">
      <alignment vertical="center" wrapText="1"/>
    </xf>
    <xf numFmtId="43" fontId="33" fillId="0" borderId="0" xfId="59" applyFont="1" applyAlignment="1">
      <alignment vertical="center"/>
    </xf>
    <xf numFmtId="43" fontId="33" fillId="34" borderId="0" xfId="59" applyFont="1" applyFill="1" applyAlignment="1">
      <alignment vertical="center"/>
    </xf>
    <xf numFmtId="0" fontId="33" fillId="38" borderId="33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6" fontId="33" fillId="0" borderId="0" xfId="59" applyNumberFormat="1" applyFont="1" applyFill="1" applyBorder="1" applyAlignment="1">
      <alignment vertical="center"/>
    </xf>
    <xf numFmtId="43" fontId="33" fillId="0" borderId="0" xfId="59" applyFont="1" applyFill="1" applyBorder="1" applyAlignment="1">
      <alignment vertical="center"/>
    </xf>
    <xf numFmtId="43" fontId="33" fillId="38" borderId="33" xfId="59" applyFont="1" applyFill="1" applyBorder="1" applyAlignment="1">
      <alignment vertical="center"/>
    </xf>
    <xf numFmtId="43" fontId="37" fillId="38" borderId="33" xfId="59" applyFont="1" applyFill="1" applyBorder="1" applyAlignment="1">
      <alignment vertical="center"/>
    </xf>
    <xf numFmtId="0" fontId="33" fillId="38" borderId="34" xfId="0" applyFont="1" applyFill="1" applyBorder="1" applyAlignment="1">
      <alignment vertical="center"/>
    </xf>
    <xf numFmtId="43" fontId="34" fillId="40" borderId="0" xfId="59" applyFont="1" applyFill="1" applyAlignment="1">
      <alignment vertical="center" wrapText="1"/>
    </xf>
    <xf numFmtId="43" fontId="34" fillId="42" borderId="52" xfId="59" applyFont="1" applyFill="1" applyBorder="1" applyAlignment="1">
      <alignment vertical="center" wrapText="1"/>
    </xf>
    <xf numFmtId="43" fontId="38" fillId="36" borderId="0" xfId="59" applyFont="1" applyFill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166" fontId="33" fillId="0" borderId="10" xfId="59" applyNumberFormat="1" applyFont="1" applyFill="1" applyBorder="1" applyAlignment="1">
      <alignment vertical="center"/>
    </xf>
    <xf numFmtId="43" fontId="33" fillId="0" borderId="10" xfId="59" applyFont="1" applyFill="1" applyBorder="1" applyAlignment="1">
      <alignment vertical="center"/>
    </xf>
    <xf numFmtId="43" fontId="33" fillId="0" borderId="10" xfId="59" applyFont="1" applyBorder="1" applyAlignment="1">
      <alignment vertical="center" wrapText="1"/>
    </xf>
    <xf numFmtId="43" fontId="34" fillId="40" borderId="10" xfId="59" applyFont="1" applyFill="1" applyBorder="1" applyAlignment="1">
      <alignment vertical="center" wrapText="1"/>
    </xf>
    <xf numFmtId="43" fontId="34" fillId="0" borderId="14" xfId="59" applyFont="1" applyBorder="1" applyAlignment="1">
      <alignment vertical="center" wrapText="1"/>
    </xf>
    <xf numFmtId="43" fontId="34" fillId="0" borderId="10" xfId="59" applyFont="1" applyBorder="1" applyAlignment="1">
      <alignment vertical="center" wrapText="1"/>
    </xf>
    <xf numFmtId="43" fontId="34" fillId="0" borderId="10" xfId="59" applyNumberFormat="1" applyFont="1" applyBorder="1" applyAlignment="1">
      <alignment vertical="center" wrapText="1"/>
    </xf>
    <xf numFmtId="43" fontId="38" fillId="36" borderId="10" xfId="59" applyFont="1" applyFill="1" applyBorder="1" applyAlignment="1">
      <alignment horizontal="center" vertical="center" wrapText="1"/>
    </xf>
    <xf numFmtId="43" fontId="33" fillId="0" borderId="10" xfId="59" applyFont="1" applyBorder="1" applyAlignment="1">
      <alignment vertical="center"/>
    </xf>
    <xf numFmtId="43" fontId="33" fillId="34" borderId="10" xfId="59" applyFont="1" applyFill="1" applyBorder="1" applyAlignment="1">
      <alignment vertical="center"/>
    </xf>
    <xf numFmtId="0" fontId="33" fillId="38" borderId="10" xfId="0" applyFont="1" applyFill="1" applyBorder="1" applyAlignment="1">
      <alignment vertical="center" wrapText="1"/>
    </xf>
    <xf numFmtId="166" fontId="33" fillId="38" borderId="10" xfId="59" applyNumberFormat="1" applyFont="1" applyFill="1" applyBorder="1" applyAlignment="1">
      <alignment vertical="center" wrapText="1"/>
    </xf>
    <xf numFmtId="43" fontId="33" fillId="38" borderId="10" xfId="59" applyFont="1" applyFill="1" applyBorder="1" applyAlignment="1">
      <alignment vertical="center" wrapText="1"/>
    </xf>
    <xf numFmtId="43" fontId="37" fillId="38" borderId="10" xfId="59" applyFont="1" applyFill="1" applyBorder="1" applyAlignment="1">
      <alignment vertical="center" wrapText="1"/>
    </xf>
    <xf numFmtId="43" fontId="38" fillId="36" borderId="10" xfId="59" applyFont="1" applyFill="1" applyBorder="1" applyAlignment="1">
      <alignment vertical="center" wrapText="1"/>
    </xf>
    <xf numFmtId="166" fontId="33" fillId="38" borderId="10" xfId="59" applyNumberFormat="1" applyFont="1" applyFill="1" applyBorder="1" applyAlignment="1">
      <alignment vertical="center"/>
    </xf>
    <xf numFmtId="164" fontId="33" fillId="38" borderId="10" xfId="56" applyNumberFormat="1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NumberFormat="1" applyFont="1" applyBorder="1" applyAlignment="1">
      <alignment vertical="center" wrapText="1"/>
    </xf>
    <xf numFmtId="166" fontId="33" fillId="0" borderId="10" xfId="59" applyNumberFormat="1" applyFont="1" applyBorder="1" applyAlignment="1">
      <alignment vertical="center" wrapText="1"/>
    </xf>
    <xf numFmtId="43" fontId="33" fillId="33" borderId="10" xfId="59" applyFont="1" applyFill="1" applyBorder="1" applyAlignment="1">
      <alignment vertical="center" wrapText="1"/>
    </xf>
    <xf numFmtId="43" fontId="33" fillId="33" borderId="10" xfId="0" applyNumberFormat="1" applyFont="1" applyFill="1" applyBorder="1" applyAlignment="1">
      <alignment vertical="center" wrapText="1"/>
    </xf>
    <xf numFmtId="43" fontId="37" fillId="33" borderId="10" xfId="59" applyFont="1" applyFill="1" applyBorder="1" applyAlignment="1">
      <alignment vertical="center" wrapText="1"/>
    </xf>
    <xf numFmtId="0" fontId="33" fillId="33" borderId="10" xfId="0" applyNumberFormat="1" applyFont="1" applyFill="1" applyBorder="1" applyAlignment="1">
      <alignment vertical="center" wrapText="1"/>
    </xf>
    <xf numFmtId="43" fontId="34" fillId="33" borderId="10" xfId="0" applyNumberFormat="1" applyFont="1" applyFill="1" applyBorder="1" applyAlignment="1">
      <alignment vertical="center" wrapText="1"/>
    </xf>
    <xf numFmtId="43" fontId="34" fillId="33" borderId="14" xfId="59" applyFont="1" applyFill="1" applyBorder="1" applyAlignment="1">
      <alignment vertical="center" wrapText="1"/>
    </xf>
    <xf numFmtId="167" fontId="34" fillId="42" borderId="24" xfId="59" applyNumberFormat="1" applyFont="1" applyFill="1" applyBorder="1" applyAlignment="1">
      <alignment vertical="center" wrapText="1"/>
    </xf>
    <xf numFmtId="167" fontId="34" fillId="43" borderId="10" xfId="59" applyNumberFormat="1" applyFont="1" applyFill="1" applyBorder="1" applyAlignment="1">
      <alignment vertical="center" wrapText="1"/>
    </xf>
    <xf numFmtId="10" fontId="38" fillId="36" borderId="10" xfId="56" applyNumberFormat="1" applyFont="1" applyFill="1" applyBorder="1" applyAlignment="1">
      <alignment vertical="center" wrapText="1"/>
    </xf>
    <xf numFmtId="167" fontId="40" fillId="43" borderId="10" xfId="59" applyNumberFormat="1" applyFont="1" applyFill="1" applyBorder="1" applyAlignment="1">
      <alignment vertical="center" wrapText="1"/>
    </xf>
    <xf numFmtId="0" fontId="33" fillId="33" borderId="0" xfId="0" applyFont="1" applyFill="1" applyAlignment="1">
      <alignment vertical="center"/>
    </xf>
    <xf numFmtId="0" fontId="33" fillId="38" borderId="35" xfId="0" applyFont="1" applyFill="1" applyBorder="1" applyAlignment="1">
      <alignment vertical="center"/>
    </xf>
    <xf numFmtId="0" fontId="33" fillId="38" borderId="15" xfId="0" applyFont="1" applyFill="1" applyBorder="1" applyAlignment="1">
      <alignment vertical="center"/>
    </xf>
    <xf numFmtId="43" fontId="33" fillId="38" borderId="35" xfId="59" applyFont="1" applyFill="1" applyBorder="1" applyAlignment="1">
      <alignment vertical="center"/>
    </xf>
    <xf numFmtId="43" fontId="33" fillId="33" borderId="35" xfId="0" applyNumberFormat="1" applyFont="1" applyFill="1" applyBorder="1" applyAlignment="1">
      <alignment vertical="center" wrapText="1"/>
    </xf>
    <xf numFmtId="43" fontId="37" fillId="38" borderId="35" xfId="59" applyFont="1" applyFill="1" applyBorder="1" applyAlignment="1">
      <alignment vertical="center"/>
    </xf>
    <xf numFmtId="0" fontId="33" fillId="38" borderId="36" xfId="0" applyFont="1" applyFill="1" applyBorder="1" applyAlignment="1">
      <alignment vertical="center"/>
    </xf>
    <xf numFmtId="43" fontId="33" fillId="33" borderId="0" xfId="59" applyFont="1" applyFill="1" applyAlignment="1">
      <alignment vertical="center" wrapText="1"/>
    </xf>
    <xf numFmtId="43" fontId="34" fillId="40" borderId="35" xfId="59" applyFont="1" applyFill="1" applyBorder="1" applyAlignment="1">
      <alignment vertical="center" wrapText="1"/>
    </xf>
    <xf numFmtId="43" fontId="34" fillId="0" borderId="36" xfId="59" applyFont="1" applyBorder="1" applyAlignment="1">
      <alignment vertical="center" wrapText="1"/>
    </xf>
    <xf numFmtId="43" fontId="34" fillId="42" borderId="53" xfId="59" applyFont="1" applyFill="1" applyBorder="1" applyAlignment="1">
      <alignment vertical="center" wrapText="1"/>
    </xf>
    <xf numFmtId="43" fontId="34" fillId="0" borderId="53" xfId="59" applyFont="1" applyBorder="1" applyAlignment="1">
      <alignment vertical="center" wrapText="1"/>
    </xf>
    <xf numFmtId="43" fontId="34" fillId="0" borderId="35" xfId="59" applyFont="1" applyBorder="1" applyAlignment="1">
      <alignment vertical="center" wrapText="1"/>
    </xf>
    <xf numFmtId="43" fontId="34" fillId="0" borderId="35" xfId="59" applyNumberFormat="1" applyFont="1" applyBorder="1" applyAlignment="1">
      <alignment vertical="center" wrapText="1"/>
    </xf>
    <xf numFmtId="10" fontId="38" fillId="36" borderId="0" xfId="56" applyNumberFormat="1" applyFont="1" applyFill="1" applyAlignment="1">
      <alignment vertical="center" wrapText="1"/>
    </xf>
    <xf numFmtId="0" fontId="33" fillId="0" borderId="0" xfId="0" applyFont="1" applyAlignment="1">
      <alignment/>
    </xf>
    <xf numFmtId="166" fontId="33" fillId="0" borderId="0" xfId="59" applyNumberFormat="1" applyFont="1" applyAlignment="1">
      <alignment/>
    </xf>
    <xf numFmtId="43" fontId="33" fillId="0" borderId="0" xfId="59" applyFont="1" applyAlignment="1">
      <alignment/>
    </xf>
    <xf numFmtId="43" fontId="37" fillId="0" borderId="0" xfId="59" applyFont="1" applyAlignment="1">
      <alignment/>
    </xf>
    <xf numFmtId="0" fontId="33" fillId="42" borderId="24" xfId="0" applyFont="1" applyFill="1" applyBorder="1" applyAlignment="1">
      <alignment/>
    </xf>
    <xf numFmtId="43" fontId="33" fillId="34" borderId="0" xfId="59" applyFont="1" applyFill="1" applyAlignment="1">
      <alignment/>
    </xf>
    <xf numFmtId="43" fontId="36" fillId="44" borderId="30" xfId="59" applyFont="1" applyFill="1" applyBorder="1" applyAlignment="1">
      <alignment vertical="center" wrapText="1"/>
    </xf>
    <xf numFmtId="43" fontId="36" fillId="44" borderId="54" xfId="59" applyFont="1" applyFill="1" applyBorder="1" applyAlignment="1">
      <alignment vertical="center" wrapText="1"/>
    </xf>
    <xf numFmtId="43" fontId="36" fillId="44" borderId="15" xfId="59" applyFont="1" applyFill="1" applyBorder="1" applyAlignment="1">
      <alignment vertical="center" wrapText="1"/>
    </xf>
    <xf numFmtId="43" fontId="36" fillId="44" borderId="55" xfId="59" applyFont="1" applyFill="1" applyBorder="1" applyAlignment="1">
      <alignment vertical="center" wrapText="1"/>
    </xf>
    <xf numFmtId="43" fontId="36" fillId="44" borderId="56" xfId="59" applyFont="1" applyFill="1" applyBorder="1" applyAlignment="1">
      <alignment vertical="center" wrapText="1"/>
    </xf>
    <xf numFmtId="43" fontId="36" fillId="44" borderId="57" xfId="59" applyFont="1" applyFill="1" applyBorder="1" applyAlignment="1">
      <alignment vertical="center" wrapText="1"/>
    </xf>
    <xf numFmtId="43" fontId="36" fillId="44" borderId="58" xfId="59" applyFont="1" applyFill="1" applyBorder="1" applyAlignment="1">
      <alignment vertical="center" wrapText="1"/>
    </xf>
    <xf numFmtId="43" fontId="36" fillId="44" borderId="59" xfId="59" applyFont="1" applyFill="1" applyBorder="1" applyAlignment="1">
      <alignment vertical="center" wrapText="1"/>
    </xf>
    <xf numFmtId="0" fontId="38" fillId="44" borderId="15" xfId="0" applyFont="1" applyFill="1" applyBorder="1" applyAlignment="1">
      <alignment/>
    </xf>
    <xf numFmtId="0" fontId="38" fillId="44" borderId="57" xfId="0" applyFont="1" applyFill="1" applyBorder="1" applyAlignment="1">
      <alignment/>
    </xf>
    <xf numFmtId="0" fontId="12" fillId="0" borderId="33" xfId="0" applyNumberFormat="1" applyFont="1" applyFill="1" applyBorder="1" applyAlignment="1">
      <alignment horizontal="center" vertical="center" wrapText="1"/>
    </xf>
    <xf numFmtId="0" fontId="42" fillId="0" borderId="3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40" borderId="60" xfId="0" applyFont="1" applyFill="1" applyBorder="1" applyAlignment="1">
      <alignment horizontal="center" vertical="center" wrapText="1"/>
    </xf>
    <xf numFmtId="0" fontId="11" fillId="40" borderId="61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 vertical="top"/>
    </xf>
    <xf numFmtId="0" fontId="14" fillId="36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 wrapText="1"/>
    </xf>
    <xf numFmtId="0" fontId="49" fillId="0" borderId="0" xfId="42" applyFont="1" applyBorder="1" applyAlignment="1" applyProtection="1">
      <alignment horizontal="justify" vertical="top"/>
      <protection/>
    </xf>
    <xf numFmtId="0" fontId="46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43" fontId="46" fillId="0" borderId="0" xfId="59" applyFont="1" applyFill="1" applyBorder="1" applyAlignment="1">
      <alignment vertical="center" wrapText="1"/>
    </xf>
    <xf numFmtId="0" fontId="46" fillId="45" borderId="0" xfId="0" applyFont="1" applyFill="1" applyBorder="1" applyAlignment="1">
      <alignment horizontal="left" vertical="center" wrapText="1"/>
    </xf>
    <xf numFmtId="0" fontId="46" fillId="45" borderId="0" xfId="0" applyFont="1" applyFill="1" applyBorder="1" applyAlignment="1">
      <alignment horizontal="justify" vertical="center" wrapText="1"/>
    </xf>
    <xf numFmtId="43" fontId="46" fillId="45" borderId="0" xfId="59" applyFont="1" applyFill="1" applyBorder="1" applyAlignment="1">
      <alignment vertical="center" wrapText="1"/>
    </xf>
    <xf numFmtId="0" fontId="57" fillId="45" borderId="0" xfId="0" applyNumberFormat="1" applyFont="1" applyFill="1" applyBorder="1" applyAlignment="1">
      <alignment vertical="center"/>
    </xf>
    <xf numFmtId="0" fontId="57" fillId="45" borderId="0" xfId="0" applyNumberFormat="1" applyFont="1" applyFill="1" applyBorder="1" applyAlignment="1">
      <alignment horizontal="left" vertical="center"/>
    </xf>
    <xf numFmtId="43" fontId="57" fillId="45" borderId="0" xfId="59" applyFont="1" applyFill="1" applyBorder="1" applyAlignment="1">
      <alignment vertical="center"/>
    </xf>
    <xf numFmtId="43" fontId="47" fillId="36" borderId="0" xfId="59" applyFont="1" applyFill="1" applyBorder="1" applyAlignment="1">
      <alignment/>
    </xf>
    <xf numFmtId="0" fontId="47" fillId="36" borderId="0" xfId="0" applyFont="1" applyFill="1" applyBorder="1" applyAlignment="1">
      <alignment horizontal="left"/>
    </xf>
    <xf numFmtId="43" fontId="48" fillId="0" borderId="0" xfId="59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center"/>
    </xf>
    <xf numFmtId="43" fontId="17" fillId="0" borderId="0" xfId="59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49" fontId="61" fillId="35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/>
    </xf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12" fillId="33" borderId="64" xfId="0" applyNumberFormat="1" applyFont="1" applyFill="1" applyBorder="1" applyAlignment="1">
      <alignment horizontal="center" vertical="center" wrapText="1"/>
    </xf>
    <xf numFmtId="0" fontId="12" fillId="33" borderId="65" xfId="0" applyNumberFormat="1" applyFont="1" applyFill="1" applyBorder="1" applyAlignment="1">
      <alignment horizontal="center" vertical="center" wrapText="1"/>
    </xf>
    <xf numFmtId="0" fontId="12" fillId="33" borderId="66" xfId="0" applyNumberFormat="1" applyFont="1" applyFill="1" applyBorder="1" applyAlignment="1">
      <alignment horizontal="center" vertical="center" wrapText="1"/>
    </xf>
    <xf numFmtId="0" fontId="19" fillId="40" borderId="0" xfId="0" applyFont="1" applyFill="1" applyAlignment="1">
      <alignment horizontal="justify" vertical="center" wrapText="1"/>
    </xf>
    <xf numFmtId="0" fontId="18" fillId="40" borderId="0" xfId="0" applyFont="1" applyFill="1" applyAlignment="1">
      <alignment horizontal="justify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justify" vertical="top"/>
    </xf>
    <xf numFmtId="0" fontId="23" fillId="36" borderId="0" xfId="0" applyFont="1" applyFill="1" applyBorder="1" applyAlignment="1">
      <alignment horizontal="justify" vertical="top"/>
    </xf>
    <xf numFmtId="0" fontId="25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10" fillId="36" borderId="67" xfId="0" applyFont="1" applyFill="1" applyBorder="1" applyAlignment="1">
      <alignment horizontal="center" vertical="center" wrapText="1"/>
    </xf>
    <xf numFmtId="0" fontId="10" fillId="36" borderId="68" xfId="0" applyFont="1" applyFill="1" applyBorder="1" applyAlignment="1">
      <alignment horizontal="center" vertical="center" wrapText="1"/>
    </xf>
    <xf numFmtId="0" fontId="10" fillId="36" borderId="69" xfId="0" applyFont="1" applyFill="1" applyBorder="1" applyAlignment="1">
      <alignment horizontal="center" vertical="center" wrapText="1"/>
    </xf>
    <xf numFmtId="0" fontId="8" fillId="0" borderId="23" xfId="4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4" fillId="36" borderId="70" xfId="42" applyFont="1" applyFill="1" applyBorder="1" applyAlignment="1" applyProtection="1">
      <alignment horizontal="center" vertical="center" wrapText="1"/>
      <protection/>
    </xf>
    <xf numFmtId="0" fontId="24" fillId="36" borderId="71" xfId="42" applyFont="1" applyFill="1" applyBorder="1" applyAlignment="1" applyProtection="1">
      <alignment horizontal="center" vertical="center"/>
      <protection/>
    </xf>
    <xf numFmtId="0" fontId="24" fillId="36" borderId="72" xfId="42" applyFont="1" applyFill="1" applyBorder="1" applyAlignment="1" applyProtection="1">
      <alignment horizontal="center" vertical="center"/>
      <protection/>
    </xf>
    <xf numFmtId="0" fontId="10" fillId="36" borderId="73" xfId="0" applyFont="1" applyFill="1" applyBorder="1" applyAlignment="1">
      <alignment horizontal="center" vertical="center" textRotation="90"/>
    </xf>
    <xf numFmtId="0" fontId="10" fillId="36" borderId="74" xfId="0" applyFont="1" applyFill="1" applyBorder="1" applyAlignment="1">
      <alignment horizontal="center" vertical="center" textRotation="90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2" fillId="33" borderId="21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33" borderId="22" xfId="0" applyNumberFormat="1" applyFont="1" applyFill="1" applyBorder="1" applyAlignment="1">
      <alignment horizontal="center" vertical="center" wrapText="1"/>
    </xf>
    <xf numFmtId="0" fontId="11" fillId="0" borderId="75" xfId="0" applyNumberFormat="1" applyFont="1" applyBorder="1" applyAlignment="1">
      <alignment horizontal="center" vertical="center" wrapText="1"/>
    </xf>
    <xf numFmtId="0" fontId="11" fillId="0" borderId="76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77" xfId="0" applyNumberFormat="1" applyFont="1" applyBorder="1" applyAlignment="1">
      <alignment horizontal="center" vertical="center" wrapText="1"/>
    </xf>
    <xf numFmtId="0" fontId="11" fillId="0" borderId="78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10" fillId="43" borderId="0" xfId="0" applyFont="1" applyFill="1" applyAlignment="1">
      <alignment horizontal="center" vertical="center" wrapText="1"/>
    </xf>
    <xf numFmtId="0" fontId="12" fillId="33" borderId="79" xfId="0" applyNumberFormat="1" applyFont="1" applyFill="1" applyBorder="1" applyAlignment="1">
      <alignment horizontal="center" vertical="center" wrapText="1"/>
    </xf>
    <xf numFmtId="0" fontId="10" fillId="46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justify" vertical="top"/>
    </xf>
    <xf numFmtId="0" fontId="46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0" fillId="46" borderId="0" xfId="0" applyFont="1" applyFill="1" applyBorder="1" applyAlignment="1">
      <alignment horizontal="center" vertical="center" textRotation="90"/>
    </xf>
    <xf numFmtId="0" fontId="52" fillId="0" borderId="0" xfId="42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0" fontId="50" fillId="46" borderId="0" xfId="0" applyFont="1" applyFill="1" applyBorder="1" applyAlignment="1">
      <alignment horizontal="center" vertical="center" wrapText="1"/>
    </xf>
    <xf numFmtId="43" fontId="14" fillId="0" borderId="0" xfId="59" applyFont="1" applyBorder="1" applyAlignment="1">
      <alignment/>
    </xf>
    <xf numFmtId="0" fontId="59" fillId="46" borderId="0" xfId="42" applyFont="1" applyFill="1" applyBorder="1" applyAlignment="1" applyProtection="1">
      <alignment horizontal="center" vertical="center" wrapText="1"/>
      <protection/>
    </xf>
    <xf numFmtId="0" fontId="59" fillId="46" borderId="0" xfId="42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/>
    </xf>
    <xf numFmtId="0" fontId="61" fillId="35" borderId="0" xfId="0" applyFont="1" applyFill="1" applyBorder="1" applyAlignment="1">
      <alignment horizontal="center" vertical="center" wrapText="1"/>
    </xf>
    <xf numFmtId="49" fontId="61" fillId="35" borderId="0" xfId="0" applyNumberFormat="1" applyFont="1" applyFill="1" applyBorder="1" applyAlignment="1">
      <alignment horizontal="left" vertical="center" wrapText="1"/>
    </xf>
    <xf numFmtId="49" fontId="61" fillId="35" borderId="0" xfId="0" applyNumberFormat="1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left" vertical="center" wrapText="1"/>
    </xf>
    <xf numFmtId="43" fontId="61" fillId="35" borderId="0" xfId="59" applyFont="1" applyFill="1" applyBorder="1" applyAlignment="1">
      <alignment vertical="center" wrapText="1"/>
    </xf>
    <xf numFmtId="0" fontId="61" fillId="0" borderId="0" xfId="0" applyFont="1" applyFill="1" applyBorder="1" applyAlignment="1">
      <alignment/>
    </xf>
    <xf numFmtId="0" fontId="56" fillId="45" borderId="0" xfId="0" applyNumberFormat="1" applyFont="1" applyFill="1" applyBorder="1" applyAlignment="1">
      <alignment vertical="center"/>
    </xf>
    <xf numFmtId="0" fontId="58" fillId="45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vertical="center" wrapText="1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43" fontId="46" fillId="0" borderId="0" xfId="59" applyFont="1" applyBorder="1" applyAlignment="1">
      <alignment/>
    </xf>
    <xf numFmtId="0" fontId="51" fillId="0" borderId="0" xfId="0" applyNumberFormat="1" applyFont="1" applyBorder="1" applyAlignment="1">
      <alignment horizontal="left" vertical="center"/>
    </xf>
    <xf numFmtId="0" fontId="46" fillId="45" borderId="0" xfId="0" applyFont="1" applyFill="1" applyBorder="1" applyAlignment="1">
      <alignment/>
    </xf>
    <xf numFmtId="0" fontId="44" fillId="46" borderId="0" xfId="0" applyFont="1" applyFill="1" applyBorder="1" applyAlignment="1">
      <alignment/>
    </xf>
    <xf numFmtId="0" fontId="45" fillId="46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46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/>
    </xf>
    <xf numFmtId="43" fontId="57" fillId="0" borderId="0" xfId="59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61" fillId="35" borderId="10" xfId="0" applyFont="1" applyFill="1" applyBorder="1" applyAlignment="1">
      <alignment horizontal="center" vertical="center" wrapText="1"/>
    </xf>
    <xf numFmtId="49" fontId="61" fillId="35" borderId="10" xfId="0" applyNumberFormat="1" applyFont="1" applyFill="1" applyBorder="1" applyAlignment="1">
      <alignment horizontal="left" vertical="center" wrapText="1"/>
    </xf>
    <xf numFmtId="43" fontId="61" fillId="35" borderId="10" xfId="59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vertical="center" wrapText="1"/>
    </xf>
    <xf numFmtId="43" fontId="46" fillId="0" borderId="10" xfId="59" applyFont="1" applyFill="1" applyBorder="1" applyAlignment="1">
      <alignment vertical="center" wrapText="1"/>
    </xf>
    <xf numFmtId="43" fontId="46" fillId="0" borderId="10" xfId="59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7" fillId="0" borderId="34" xfId="0" applyNumberFormat="1" applyFont="1" applyFill="1" applyBorder="1" applyAlignment="1">
      <alignment horizontal="center" vertical="center" wrapText="1"/>
    </xf>
    <xf numFmtId="0" fontId="57" fillId="0" borderId="79" xfId="0" applyNumberFormat="1" applyFont="1" applyFill="1" applyBorder="1" applyAlignment="1">
      <alignment horizontal="center" vertical="center" wrapText="1"/>
    </xf>
    <xf numFmtId="0" fontId="57" fillId="0" borderId="52" xfId="0" applyNumberFormat="1" applyFont="1" applyFill="1" applyBorder="1" applyAlignment="1">
      <alignment horizontal="center" vertical="center" wrapText="1"/>
    </xf>
    <xf numFmtId="0" fontId="57" fillId="0" borderId="36" xfId="0" applyNumberFormat="1" applyFont="1" applyFill="1" applyBorder="1" applyAlignment="1">
      <alignment horizontal="center" vertical="center" wrapText="1"/>
    </xf>
    <xf numFmtId="0" fontId="57" fillId="0" borderId="80" xfId="0" applyNumberFormat="1" applyFont="1" applyFill="1" applyBorder="1" applyAlignment="1">
      <alignment horizontal="center" vertical="center" wrapText="1"/>
    </xf>
    <xf numFmtId="0" fontId="57" fillId="0" borderId="53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51" fillId="0" borderId="10" xfId="59" applyFont="1" applyFill="1" applyBorder="1" applyAlignment="1">
      <alignment horizontal="center" vertical="center" wrapText="1"/>
    </xf>
    <xf numFmtId="43" fontId="46" fillId="0" borderId="10" xfId="59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3" fontId="46" fillId="0" borderId="10" xfId="59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54;&#1073;&#1097;&#1080;&#1077; &#1091;&#1082;&#1072;&#1079;&#1072;&#1085;&#1080;&#1103; &#1082; &#1087;&#1088;&#1077;&#1081;&#1089;&#1082;&#1091;&#1088;&#1072;&#1085;&#1090;&#1091;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1</xdr:row>
      <xdr:rowOff>381000</xdr:rowOff>
    </xdr:from>
    <xdr:to>
      <xdr:col>7</xdr:col>
      <xdr:colOff>2295525</xdr:colOff>
      <xdr:row>1</xdr:row>
      <xdr:rowOff>1400175</xdr:rowOff>
    </xdr:to>
    <xdr:sp>
      <xdr:nvSpPr>
        <xdr:cNvPr id="1" name="WordArt 3"/>
        <xdr:cNvSpPr>
          <a:spLocks/>
        </xdr:cNvSpPr>
      </xdr:nvSpPr>
      <xdr:spPr>
        <a:xfrm>
          <a:off x="1809750" y="676275"/>
          <a:ext cx="10810875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ЗАО  «ВТОРОГНЕУПОРМАТЕРИАЛЫ»</a:t>
          </a:r>
        </a:p>
      </xdr:txBody>
    </xdr:sp>
    <xdr:clientData/>
  </xdr:twoCellAnchor>
  <xdr:twoCellAnchor>
    <xdr:from>
      <xdr:col>7</xdr:col>
      <xdr:colOff>228600</xdr:colOff>
      <xdr:row>14</xdr:row>
      <xdr:rowOff>0</xdr:rowOff>
    </xdr:from>
    <xdr:to>
      <xdr:col>7</xdr:col>
      <xdr:colOff>1362075</xdr:colOff>
      <xdr:row>14</xdr:row>
      <xdr:rowOff>0</xdr:rowOff>
    </xdr:to>
    <xdr:sp>
      <xdr:nvSpPr>
        <xdr:cNvPr id="2" name="Rectangle 4">
          <a:hlinkClick r:id="rId1"/>
        </xdr:cNvPr>
        <xdr:cNvSpPr>
          <a:spLocks/>
        </xdr:cNvSpPr>
      </xdr:nvSpPr>
      <xdr:spPr>
        <a:xfrm>
          <a:off x="10553700" y="4305300"/>
          <a:ext cx="1133475" cy="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Еще скидки</a:t>
          </a:r>
        </a:p>
      </xdr:txBody>
    </xdr:sp>
    <xdr:clientData/>
  </xdr:twoCellAnchor>
  <xdr:twoCellAnchor>
    <xdr:from>
      <xdr:col>0</xdr:col>
      <xdr:colOff>9525</xdr:colOff>
      <xdr:row>1</xdr:row>
      <xdr:rowOff>85725</xdr:rowOff>
    </xdr:from>
    <xdr:to>
      <xdr:col>1</xdr:col>
      <xdr:colOff>1276350</xdr:colOff>
      <xdr:row>1</xdr:row>
      <xdr:rowOff>1524000</xdr:rowOff>
    </xdr:to>
    <xdr:pic>
      <xdr:nvPicPr>
        <xdr:cNvPr id="3" name="Picture 5" descr="Знак форм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0"/>
          <a:ext cx="1628775" cy="1438275"/>
        </a:xfrm>
        <a:prstGeom prst="rect">
          <a:avLst/>
        </a:prstGeom>
        <a:solidFill>
          <a:srgbClr val="333399">
            <a:alpha val="95000"/>
          </a:srgbClr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1</xdr:row>
      <xdr:rowOff>142875</xdr:rowOff>
    </xdr:from>
    <xdr:to>
      <xdr:col>7</xdr:col>
      <xdr:colOff>1866900</xdr:colOff>
      <xdr:row>2</xdr:row>
      <xdr:rowOff>0</xdr:rowOff>
    </xdr:to>
    <xdr:sp>
      <xdr:nvSpPr>
        <xdr:cNvPr id="1" name="WordArt 3"/>
        <xdr:cNvSpPr>
          <a:spLocks/>
        </xdr:cNvSpPr>
      </xdr:nvSpPr>
      <xdr:spPr>
        <a:xfrm>
          <a:off x="1771650" y="333375"/>
          <a:ext cx="13535025" cy="923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ЗАО  «ВТОРОГНЕУПОРМАТЕРИАЛЫ»</a:t>
          </a:r>
        </a:p>
      </xdr:txBody>
    </xdr:sp>
    <xdr:clientData/>
  </xdr:twoCellAnchor>
  <xdr:twoCellAnchor>
    <xdr:from>
      <xdr:col>0</xdr:col>
      <xdr:colOff>190500</xdr:colOff>
      <xdr:row>1</xdr:row>
      <xdr:rowOff>28575</xdr:rowOff>
    </xdr:from>
    <xdr:to>
      <xdr:col>1</xdr:col>
      <xdr:colOff>1047750</xdr:colOff>
      <xdr:row>1</xdr:row>
      <xdr:rowOff>1057275</xdr:rowOff>
    </xdr:to>
    <xdr:pic>
      <xdr:nvPicPr>
        <xdr:cNvPr id="2" name="Picture 5" descr="Знак фор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1219200" cy="1028700"/>
        </a:xfrm>
        <a:prstGeom prst="rect">
          <a:avLst/>
        </a:prstGeom>
        <a:solidFill>
          <a:srgbClr val="333399">
            <a:alpha val="9500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ogneupor-ns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gneupor-nsk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6"/>
  <sheetViews>
    <sheetView zoomScalePageLayoutView="0" workbookViewId="0" topLeftCell="S1">
      <selection activeCell="AB4" sqref="AB4"/>
    </sheetView>
  </sheetViews>
  <sheetFormatPr defaultColWidth="9.00390625" defaultRowHeight="12.75"/>
  <cols>
    <col min="1" max="1" width="23.25390625" style="319" customWidth="1"/>
    <col min="2" max="4" width="9.125" style="319" customWidth="1"/>
    <col min="5" max="5" width="20.25390625" style="319" customWidth="1"/>
    <col min="6" max="6" width="1.75390625" style="320" customWidth="1"/>
    <col min="7" max="8" width="9.125" style="319" customWidth="1"/>
    <col min="9" max="9" width="1.75390625" style="320" customWidth="1"/>
    <col min="10" max="10" width="11.25390625" style="319" customWidth="1"/>
    <col min="11" max="11" width="15.00390625" style="319" customWidth="1"/>
    <col min="12" max="12" width="1.75390625" style="320" customWidth="1"/>
    <col min="13" max="14" width="9.125" style="319" customWidth="1"/>
    <col min="15" max="15" width="12.875" style="319" bestFit="1" customWidth="1"/>
    <col min="16" max="16" width="1.00390625" style="321" customWidth="1"/>
    <col min="17" max="17" width="9.125" style="319" customWidth="1"/>
    <col min="18" max="19" width="14.25390625" style="319" customWidth="1"/>
    <col min="20" max="20" width="12.875" style="319" customWidth="1"/>
    <col min="21" max="21" width="1.75390625" style="320" customWidth="1"/>
    <col min="22" max="23" width="9.125" style="319" customWidth="1"/>
    <col min="24" max="24" width="12.375" style="319" bestFit="1" customWidth="1"/>
    <col min="25" max="25" width="1.75390625" style="320" customWidth="1"/>
    <col min="26" max="27" width="9.125" style="319" customWidth="1"/>
    <col min="28" max="28" width="12.375" style="319" bestFit="1" customWidth="1"/>
    <col min="29" max="29" width="2.625" style="345" customWidth="1"/>
    <col min="30" max="31" width="9.125" style="347" customWidth="1"/>
    <col min="32" max="32" width="12.375" style="347" bestFit="1" customWidth="1"/>
    <col min="33" max="33" width="1.625" style="319" customWidth="1"/>
    <col min="34" max="34" width="11.625" style="347" bestFit="1" customWidth="1"/>
    <col min="35" max="35" width="12.375" style="347" bestFit="1" customWidth="1"/>
    <col min="36" max="36" width="1.875" style="319" customWidth="1"/>
    <col min="37" max="37" width="10.375" style="319" bestFit="1" customWidth="1"/>
    <col min="38" max="38" width="2.00390625" style="319" customWidth="1"/>
    <col min="39" max="39" width="9.125" style="319" customWidth="1"/>
    <col min="40" max="40" width="11.625" style="319" bestFit="1" customWidth="1"/>
    <col min="41" max="16384" width="9.125" style="319" customWidth="1"/>
  </cols>
  <sheetData>
    <row r="2" spans="1:39" ht="126.75" customHeight="1">
      <c r="A2" s="323" t="s">
        <v>285</v>
      </c>
      <c r="B2" s="323" t="s">
        <v>196</v>
      </c>
      <c r="C2" s="323" t="s">
        <v>284</v>
      </c>
      <c r="D2" s="323" t="s">
        <v>286</v>
      </c>
      <c r="E2" s="323" t="s">
        <v>287</v>
      </c>
      <c r="F2" s="323"/>
      <c r="G2" s="323" t="s">
        <v>280</v>
      </c>
      <c r="H2" s="323" t="s">
        <v>288</v>
      </c>
      <c r="I2" s="323"/>
      <c r="J2" s="323" t="s">
        <v>281</v>
      </c>
      <c r="K2" s="323" t="s">
        <v>289</v>
      </c>
      <c r="L2" s="323"/>
      <c r="M2" s="323" t="s">
        <v>282</v>
      </c>
      <c r="N2" s="323" t="s">
        <v>290</v>
      </c>
      <c r="O2" s="323" t="s">
        <v>283</v>
      </c>
      <c r="P2" s="323"/>
      <c r="Q2" s="323" t="s">
        <v>294</v>
      </c>
      <c r="R2" s="323" t="s">
        <v>290</v>
      </c>
      <c r="S2" s="323" t="s">
        <v>297</v>
      </c>
      <c r="T2" s="323" t="s">
        <v>295</v>
      </c>
      <c r="U2" s="323"/>
      <c r="V2" s="323" t="s">
        <v>299</v>
      </c>
      <c r="W2" s="323" t="s">
        <v>305</v>
      </c>
      <c r="X2" s="323" t="s">
        <v>298</v>
      </c>
      <c r="Y2" s="323"/>
      <c r="Z2" s="323" t="s">
        <v>299</v>
      </c>
      <c r="AA2" s="323" t="s">
        <v>280</v>
      </c>
      <c r="AB2" s="323" t="s">
        <v>288</v>
      </c>
      <c r="AD2" s="346" t="s">
        <v>299</v>
      </c>
      <c r="AE2" s="346" t="s">
        <v>300</v>
      </c>
      <c r="AF2" s="346" t="s">
        <v>298</v>
      </c>
      <c r="AH2" s="346" t="s">
        <v>301</v>
      </c>
      <c r="AI2" s="346" t="s">
        <v>302</v>
      </c>
      <c r="AK2" s="346" t="s">
        <v>304</v>
      </c>
      <c r="AM2" s="346" t="s">
        <v>303</v>
      </c>
    </row>
    <row r="3" spans="1:40" ht="102" customHeight="1">
      <c r="A3" s="325" t="s">
        <v>292</v>
      </c>
      <c r="B3" s="326" t="s">
        <v>115</v>
      </c>
      <c r="C3" s="326" t="s">
        <v>255</v>
      </c>
      <c r="D3" s="326" t="s">
        <v>126</v>
      </c>
      <c r="E3" s="326">
        <v>4500</v>
      </c>
      <c r="F3" s="327"/>
      <c r="G3" s="328">
        <v>0.1</v>
      </c>
      <c r="H3" s="329">
        <f>E3-E3*G3</f>
        <v>4050</v>
      </c>
      <c r="I3" s="327"/>
      <c r="J3" s="330">
        <v>0.05</v>
      </c>
      <c r="K3" s="326">
        <f>E3-E3*J3</f>
        <v>4275</v>
      </c>
      <c r="L3" s="327"/>
      <c r="M3" s="331">
        <v>31.05</v>
      </c>
      <c r="N3" s="331">
        <f>K3</f>
        <v>4275</v>
      </c>
      <c r="O3" s="332">
        <f>N3*M3</f>
        <v>132738.75</v>
      </c>
      <c r="P3" s="333"/>
      <c r="Q3" s="331">
        <f>63-M3</f>
        <v>31.95</v>
      </c>
      <c r="R3" s="483" t="s">
        <v>296</v>
      </c>
      <c r="S3" s="334">
        <f>T3/Q3</f>
        <v>3831.3380281690143</v>
      </c>
      <c r="T3" s="334">
        <f>H3*63-O3</f>
        <v>122411.25</v>
      </c>
      <c r="U3" s="327"/>
      <c r="V3" s="331">
        <v>63</v>
      </c>
      <c r="W3" s="331">
        <f>X3/V3</f>
        <v>4050</v>
      </c>
      <c r="X3" s="335">
        <f>T3+O3</f>
        <v>255150</v>
      </c>
      <c r="Y3" s="327"/>
      <c r="Z3" s="331" t="s">
        <v>306</v>
      </c>
      <c r="AA3" s="331">
        <v>10</v>
      </c>
      <c r="AB3" s="335">
        <f>E3-E3/100*10</f>
        <v>4050</v>
      </c>
      <c r="AD3" s="347">
        <v>63</v>
      </c>
      <c r="AE3" s="347">
        <f>W3*1.18</f>
        <v>4779</v>
      </c>
      <c r="AF3" s="324">
        <f>AE3*AD3</f>
        <v>301077</v>
      </c>
      <c r="AH3" s="347">
        <f>4600/31.05*63</f>
        <v>9333.333333333334</v>
      </c>
      <c r="AI3" s="324">
        <f>AH3/63</f>
        <v>148.14814814814815</v>
      </c>
      <c r="AK3" s="322">
        <f>AE3+AI3</f>
        <v>4927.148148148148</v>
      </c>
      <c r="AM3" s="319">
        <v>4055.77</v>
      </c>
      <c r="AN3" s="348">
        <f>(AK3-AM3)/AM3</f>
        <v>0.2148490047877833</v>
      </c>
    </row>
    <row r="4" spans="1:40" ht="38.25">
      <c r="A4" s="336" t="s">
        <v>291</v>
      </c>
      <c r="B4" s="337" t="s">
        <v>65</v>
      </c>
      <c r="C4" s="337" t="s">
        <v>123</v>
      </c>
      <c r="D4" s="337" t="s">
        <v>163</v>
      </c>
      <c r="E4" s="337">
        <v>3700</v>
      </c>
      <c r="F4" s="338"/>
      <c r="G4" s="339">
        <v>0.05</v>
      </c>
      <c r="H4" s="340">
        <f>E4-E4*G4</f>
        <v>3515</v>
      </c>
      <c r="I4" s="338"/>
      <c r="J4" s="339">
        <v>0.03</v>
      </c>
      <c r="K4" s="337">
        <f>E4-E4*J4</f>
        <v>3589</v>
      </c>
      <c r="L4" s="338"/>
      <c r="M4" s="341">
        <v>55</v>
      </c>
      <c r="N4" s="341">
        <f>K4</f>
        <v>3589</v>
      </c>
      <c r="O4" s="342">
        <f>N4*M4</f>
        <v>197395</v>
      </c>
      <c r="P4" s="343"/>
      <c r="Q4" s="341">
        <f>63-M4</f>
        <v>8</v>
      </c>
      <c r="R4" s="484"/>
      <c r="S4" s="344">
        <f>T4/Q4</f>
        <v>3006.25</v>
      </c>
      <c r="T4" s="344">
        <f>H4*63-O4</f>
        <v>24050</v>
      </c>
      <c r="U4" s="338"/>
      <c r="V4" s="341">
        <v>63</v>
      </c>
      <c r="W4" s="341">
        <f>X4/V4</f>
        <v>3515</v>
      </c>
      <c r="X4" s="335">
        <f>T4+O4</f>
        <v>221445</v>
      </c>
      <c r="Y4" s="338"/>
      <c r="Z4" s="341" t="s">
        <v>307</v>
      </c>
      <c r="AA4" s="341">
        <v>5</v>
      </c>
      <c r="AB4" s="335">
        <f>E4-E4/100*10</f>
        <v>3330</v>
      </c>
      <c r="AD4" s="347">
        <v>63</v>
      </c>
      <c r="AE4" s="347">
        <f>W4*1.18</f>
        <v>4147.7</v>
      </c>
      <c r="AF4" s="324">
        <f>AE4*AD4</f>
        <v>261305.09999999998</v>
      </c>
      <c r="AH4" s="347">
        <f>12980/55*63</f>
        <v>14868</v>
      </c>
      <c r="AI4" s="324">
        <f>AH4/63</f>
        <v>236</v>
      </c>
      <c r="AK4" s="322">
        <f>AE4+AI4</f>
        <v>4383.7</v>
      </c>
      <c r="AM4" s="319">
        <f>2760*1.18+634.123</f>
        <v>3890.923</v>
      </c>
      <c r="AN4" s="348">
        <f>(AK4-AM4)/AM4</f>
        <v>0.1266478416560801</v>
      </c>
    </row>
    <row r="6" ht="12.75">
      <c r="A6" s="318" t="s">
        <v>293</v>
      </c>
    </row>
  </sheetData>
  <sheetProtection/>
  <mergeCells count="1">
    <mergeCell ref="R3:R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8"/>
  <sheetViews>
    <sheetView zoomScalePageLayoutView="0" workbookViewId="0" topLeftCell="A1">
      <pane xSplit="2" ySplit="4" topLeftCell="C3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4" sqref="B44"/>
    </sheetView>
  </sheetViews>
  <sheetFormatPr defaultColWidth="9.00390625" defaultRowHeight="12.75"/>
  <cols>
    <col min="1" max="1" width="13.00390625" style="25" customWidth="1"/>
    <col min="2" max="2" width="36.375" style="25" customWidth="1"/>
    <col min="3" max="5" width="8.25390625" style="93" customWidth="1"/>
    <col min="6" max="6" width="7.00390625" style="94" customWidth="1"/>
    <col min="7" max="7" width="8.00390625" style="101" customWidth="1"/>
    <col min="8" max="8" width="8.375" style="103" customWidth="1"/>
    <col min="9" max="9" width="8.25390625" style="101" customWidth="1"/>
    <col min="10" max="10" width="7.875" style="102" customWidth="1"/>
    <col min="11" max="11" width="10.625" style="3" customWidth="1"/>
    <col min="12" max="12" width="11.25390625" style="3" customWidth="1"/>
    <col min="13" max="13" width="1.625" style="3" customWidth="1"/>
    <col min="14" max="14" width="12.25390625" style="3" customWidth="1"/>
    <col min="15" max="15" width="13.00390625" style="3" customWidth="1"/>
    <col min="16" max="16" width="12.25390625" style="90" customWidth="1"/>
    <col min="17" max="17" width="12.25390625" style="15" customWidth="1"/>
    <col min="18" max="18" width="13.875" style="16" customWidth="1"/>
    <col min="19" max="19" width="8.875" style="13" customWidth="1"/>
    <col min="20" max="20" width="13.625" style="17" customWidth="1"/>
    <col min="21" max="21" width="9.75390625" style="3" customWidth="1"/>
    <col min="22" max="22" width="15.00390625" style="3" customWidth="1"/>
    <col min="23" max="23" width="10.25390625" style="3" customWidth="1"/>
    <col min="24" max="24" width="12.25390625" style="3" customWidth="1"/>
    <col min="25" max="25" width="1.75390625" style="3" customWidth="1"/>
    <col min="26" max="27" width="11.375" style="3" customWidth="1"/>
    <col min="28" max="28" width="13.25390625" style="3" customWidth="1"/>
    <col min="29" max="29" width="2.25390625" style="2" customWidth="1"/>
    <col min="30" max="33" width="13.75390625" style="1" customWidth="1"/>
    <col min="34" max="34" width="10.625" style="1" customWidth="1"/>
    <col min="35" max="35" width="13.625" style="1" customWidth="1"/>
    <col min="36" max="36" width="10.00390625" style="1" customWidth="1"/>
    <col min="37" max="37" width="2.25390625" style="2" customWidth="1"/>
    <col min="38" max="40" width="9.125" style="1" customWidth="1"/>
    <col min="41" max="41" width="2.25390625" style="2" customWidth="1"/>
    <col min="42" max="44" width="9.125" style="1" customWidth="1"/>
    <col min="45" max="45" width="2.25390625" style="2" customWidth="1"/>
    <col min="46" max="46" width="11.625" style="1" bestFit="1" customWidth="1"/>
    <col min="47" max="48" width="9.125" style="1" customWidth="1"/>
    <col min="49" max="49" width="2.25390625" style="2" customWidth="1"/>
    <col min="50" max="50" width="11.625" style="1" bestFit="1" customWidth="1"/>
    <col min="51" max="51" width="9.125" style="25" customWidth="1"/>
    <col min="52" max="52" width="2.25390625" style="2" customWidth="1"/>
    <col min="53" max="53" width="11.625" style="1" bestFit="1" customWidth="1"/>
    <col min="54" max="54" width="19.625" style="25" customWidth="1"/>
    <col min="55" max="55" width="2.25390625" style="2" customWidth="1"/>
    <col min="56" max="57" width="16.25390625" style="25" customWidth="1"/>
    <col min="58" max="58" width="0.875" style="21" customWidth="1"/>
    <col min="59" max="59" width="19.625" style="1" customWidth="1"/>
    <col min="60" max="60" width="17.625" style="25" customWidth="1"/>
    <col min="61" max="61" width="2.25390625" style="2" customWidth="1"/>
    <col min="62" max="62" width="11.625" style="1" bestFit="1" customWidth="1"/>
    <col min="63" max="63" width="19.625" style="25" customWidth="1"/>
    <col min="64" max="16384" width="9.125" style="25" customWidth="1"/>
  </cols>
  <sheetData>
    <row r="1" spans="7:62" ht="25.5">
      <c r="G1" s="95"/>
      <c r="H1" s="96"/>
      <c r="I1" s="97" t="s">
        <v>155</v>
      </c>
      <c r="J1" s="98"/>
      <c r="K1" s="3" t="s">
        <v>66</v>
      </c>
      <c r="L1" s="3" t="s">
        <v>66</v>
      </c>
      <c r="P1" s="92" t="s">
        <v>266</v>
      </c>
      <c r="Z1" s="27" t="s">
        <v>138</v>
      </c>
      <c r="AA1" s="27"/>
      <c r="AB1" s="27"/>
      <c r="AD1" s="1" t="s">
        <v>89</v>
      </c>
      <c r="AH1" s="1" t="s">
        <v>89</v>
      </c>
      <c r="AJ1" s="1" t="s">
        <v>89</v>
      </c>
      <c r="AL1" s="1" t="s">
        <v>95</v>
      </c>
      <c r="AM1" s="1" t="s">
        <v>95</v>
      </c>
      <c r="AP1" s="1" t="s">
        <v>96</v>
      </c>
      <c r="AQ1" s="1" t="s">
        <v>96</v>
      </c>
      <c r="AT1" s="11" t="s">
        <v>97</v>
      </c>
      <c r="AU1" s="1" t="s">
        <v>98</v>
      </c>
      <c r="AX1" s="11" t="s">
        <v>99</v>
      </c>
      <c r="BA1" s="11" t="s">
        <v>100</v>
      </c>
      <c r="BD1" s="24" t="s">
        <v>131</v>
      </c>
      <c r="BE1" s="24"/>
      <c r="BF1" s="23"/>
      <c r="BJ1" s="11" t="s">
        <v>133</v>
      </c>
    </row>
    <row r="2" spans="7:63" ht="25.5">
      <c r="G2" s="99" t="s">
        <v>154</v>
      </c>
      <c r="H2" s="100"/>
      <c r="K2" s="3" t="s">
        <v>67</v>
      </c>
      <c r="P2" s="90" t="s">
        <v>143</v>
      </c>
      <c r="S2" s="30" t="s">
        <v>140</v>
      </c>
      <c r="U2" s="28">
        <v>0.03</v>
      </c>
      <c r="Z2" s="28">
        <v>0.08</v>
      </c>
      <c r="AD2" s="7" t="s">
        <v>66</v>
      </c>
      <c r="AE2" s="7"/>
      <c r="AF2" s="7"/>
      <c r="AG2" s="7"/>
      <c r="AH2" s="8" t="s">
        <v>90</v>
      </c>
      <c r="AI2" s="8"/>
      <c r="AJ2" s="1" t="s">
        <v>91</v>
      </c>
      <c r="AL2" s="1" t="s">
        <v>66</v>
      </c>
      <c r="AM2" s="1" t="s">
        <v>90</v>
      </c>
      <c r="AN2" s="1" t="s">
        <v>91</v>
      </c>
      <c r="AP2" s="1" t="s">
        <v>66</v>
      </c>
      <c r="AQ2" s="1" t="s">
        <v>90</v>
      </c>
      <c r="AR2" s="1" t="s">
        <v>91</v>
      </c>
      <c r="AT2" s="1" t="s">
        <v>66</v>
      </c>
      <c r="AU2" s="1" t="s">
        <v>90</v>
      </c>
      <c r="AV2" s="1" t="s">
        <v>91</v>
      </c>
      <c r="AX2" s="1" t="s">
        <v>66</v>
      </c>
      <c r="BA2" s="1" t="s">
        <v>66</v>
      </c>
      <c r="BD2" s="25" t="s">
        <v>66</v>
      </c>
      <c r="BE2" s="25" t="s">
        <v>134</v>
      </c>
      <c r="BG2" s="1" t="s">
        <v>132</v>
      </c>
      <c r="BH2" s="25" t="s">
        <v>134</v>
      </c>
      <c r="BJ2" s="1" t="s">
        <v>66</v>
      </c>
      <c r="BK2" s="25" t="s">
        <v>132</v>
      </c>
    </row>
    <row r="3" spans="3:54" ht="112.5">
      <c r="C3" s="22" t="s">
        <v>128</v>
      </c>
      <c r="D3" s="22" t="s">
        <v>127</v>
      </c>
      <c r="E3" s="22" t="s">
        <v>130</v>
      </c>
      <c r="F3" s="37" t="s">
        <v>129</v>
      </c>
      <c r="G3" s="38" t="s">
        <v>130</v>
      </c>
      <c r="H3" s="36" t="s">
        <v>129</v>
      </c>
      <c r="I3" s="38" t="s">
        <v>130</v>
      </c>
      <c r="J3" s="39" t="s">
        <v>129</v>
      </c>
      <c r="K3" s="3" t="s">
        <v>69</v>
      </c>
      <c r="L3" s="3" t="s">
        <v>70</v>
      </c>
      <c r="N3" s="3" t="s">
        <v>139</v>
      </c>
      <c r="O3" s="3" t="s">
        <v>141</v>
      </c>
      <c r="P3" s="90" t="s">
        <v>108</v>
      </c>
      <c r="Q3" s="15" t="s">
        <v>109</v>
      </c>
      <c r="R3" s="16" t="s">
        <v>110</v>
      </c>
      <c r="S3" s="13" t="s">
        <v>103</v>
      </c>
      <c r="T3" s="17" t="s">
        <v>144</v>
      </c>
      <c r="U3" s="3" t="s">
        <v>262</v>
      </c>
      <c r="V3" s="3" t="s">
        <v>105</v>
      </c>
      <c r="W3" s="3" t="s">
        <v>263</v>
      </c>
      <c r="X3" s="3" t="s">
        <v>111</v>
      </c>
      <c r="Z3" s="3" t="s">
        <v>104</v>
      </c>
      <c r="AA3" s="3" t="s">
        <v>105</v>
      </c>
      <c r="AB3" s="3" t="s">
        <v>111</v>
      </c>
      <c r="AD3" s="1" t="s">
        <v>69</v>
      </c>
      <c r="AE3" s="1" t="s">
        <v>92</v>
      </c>
      <c r="AF3" s="1" t="s">
        <v>93</v>
      </c>
      <c r="AG3" s="1" t="s">
        <v>94</v>
      </c>
      <c r="AH3" s="1" t="s">
        <v>69</v>
      </c>
      <c r="AI3" s="1" t="s">
        <v>92</v>
      </c>
      <c r="AL3" s="1" t="s">
        <v>69</v>
      </c>
      <c r="AM3" s="1" t="s">
        <v>69</v>
      </c>
      <c r="AP3" s="1" t="s">
        <v>69</v>
      </c>
      <c r="AQ3" s="1" t="s">
        <v>69</v>
      </c>
      <c r="AT3" s="1" t="s">
        <v>69</v>
      </c>
      <c r="AU3" s="1" t="s">
        <v>69</v>
      </c>
      <c r="AX3" s="1" t="s">
        <v>101</v>
      </c>
      <c r="AY3" s="25" t="s">
        <v>102</v>
      </c>
      <c r="BA3" s="1" t="s">
        <v>69</v>
      </c>
      <c r="BB3" s="25" t="s">
        <v>102</v>
      </c>
    </row>
    <row r="5" spans="1:54" ht="12.75">
      <c r="A5" s="25" t="s">
        <v>71</v>
      </c>
      <c r="B5" s="25" t="s">
        <v>75</v>
      </c>
      <c r="K5" s="3">
        <v>2350</v>
      </c>
      <c r="L5" s="3">
        <f>ROUND(K5/100*118,)</f>
        <v>2773</v>
      </c>
      <c r="N5" s="3" t="s">
        <v>256</v>
      </c>
      <c r="O5" s="3" t="s">
        <v>256</v>
      </c>
      <c r="P5" s="90" t="s">
        <v>256</v>
      </c>
      <c r="Q5" s="15" t="s">
        <v>256</v>
      </c>
      <c r="R5" s="16" t="s">
        <v>256</v>
      </c>
      <c r="S5" s="14">
        <f>S6</f>
        <v>0.2</v>
      </c>
      <c r="T5" s="18" t="s">
        <v>256</v>
      </c>
      <c r="U5" s="12"/>
      <c r="V5" s="12"/>
      <c r="W5" s="12"/>
      <c r="X5" s="12"/>
      <c r="Y5" s="12"/>
      <c r="Z5" s="12"/>
      <c r="AA5" s="12"/>
      <c r="AB5" s="29"/>
      <c r="AJ5" s="9" t="e">
        <f aca="true" t="shared" si="0" ref="AJ5:AJ39">(AH5-AD5)/AD5</f>
        <v>#DIV/0!</v>
      </c>
      <c r="AT5" s="1">
        <f>3000/1.18</f>
        <v>2542.3728813559323</v>
      </c>
      <c r="AX5" s="1">
        <f>2770</f>
        <v>2770</v>
      </c>
      <c r="AY5" s="25">
        <f>(244165.8/1/65.6-AX5)</f>
        <v>952.0396341463415</v>
      </c>
      <c r="BA5" s="1">
        <v>2300</v>
      </c>
      <c r="BB5" s="25">
        <f>253947.8/1.18/60-BA5</f>
        <v>1286.8333333333335</v>
      </c>
    </row>
    <row r="6" spans="1:46" ht="12.75">
      <c r="A6" s="104" t="s">
        <v>71</v>
      </c>
      <c r="B6" s="104" t="s">
        <v>142</v>
      </c>
      <c r="K6" s="20">
        <v>2450</v>
      </c>
      <c r="L6" s="20">
        <f>ROUND(K6/100*118,)</f>
        <v>2891</v>
      </c>
      <c r="M6" s="20"/>
      <c r="N6" s="3">
        <f>K6*(100%+S6)</f>
        <v>2940</v>
      </c>
      <c r="O6" s="3">
        <f aca="true" t="shared" si="1" ref="O6:O64">N6*1.18</f>
        <v>3469.2</v>
      </c>
      <c r="P6" s="90">
        <v>2950</v>
      </c>
      <c r="Q6" s="86">
        <f>P6*0.18</f>
        <v>531</v>
      </c>
      <c r="R6" s="87">
        <f>Q6+P6</f>
        <v>3481</v>
      </c>
      <c r="S6" s="14">
        <v>0.2</v>
      </c>
      <c r="T6" s="18">
        <f>(R6-L6)/L6</f>
        <v>0.20408163265306123</v>
      </c>
      <c r="U6" s="40">
        <f>U$2</f>
        <v>0.03</v>
      </c>
      <c r="V6" s="86">
        <f>ROUND($P6-$P6*U6,2)</f>
        <v>2861.5</v>
      </c>
      <c r="W6" s="86">
        <v>2860</v>
      </c>
      <c r="X6" s="20">
        <f>W6*1.18</f>
        <v>3374.7999999999997</v>
      </c>
      <c r="Z6" s="12">
        <f>Z$2</f>
        <v>0.08</v>
      </c>
      <c r="AA6" s="3">
        <f>ROUND($P6-$P6*Z6,)</f>
        <v>2714</v>
      </c>
      <c r="AB6" s="3">
        <f>AA6*1.18</f>
        <v>3202.52</v>
      </c>
      <c r="AJ6" s="9" t="e">
        <f t="shared" si="0"/>
        <v>#DIV/0!</v>
      </c>
      <c r="AT6" s="1">
        <f>5200/1.18</f>
        <v>4406.77966101695</v>
      </c>
    </row>
    <row r="7" spans="1:36" ht="12.75">
      <c r="A7" s="26" t="s">
        <v>71</v>
      </c>
      <c r="B7" s="26" t="s">
        <v>257</v>
      </c>
      <c r="K7" s="6">
        <f>K$6+K34+K35</f>
        <v>2685</v>
      </c>
      <c r="L7" s="6">
        <f>L6+(L34+L35)</f>
        <v>3168.3</v>
      </c>
      <c r="M7" s="6"/>
      <c r="N7" s="6">
        <f>K7*(100%+S7)</f>
        <v>3222</v>
      </c>
      <c r="O7" s="6">
        <f t="shared" si="1"/>
        <v>3801.9599999999996</v>
      </c>
      <c r="P7" s="91">
        <f>P6+P37</f>
        <v>3150</v>
      </c>
      <c r="Q7" s="84">
        <f>P7*0.18</f>
        <v>567</v>
      </c>
      <c r="R7" s="85">
        <f>Q7+P7</f>
        <v>3717</v>
      </c>
      <c r="S7" s="14">
        <f>S6</f>
        <v>0.2</v>
      </c>
      <c r="T7" s="18">
        <f>(R7-L7)/L7</f>
        <v>0.17318435754189937</v>
      </c>
      <c r="U7" s="12">
        <f>U$2</f>
        <v>0.03</v>
      </c>
      <c r="V7" s="3">
        <f>V6+$P$37</f>
        <v>3061.5</v>
      </c>
      <c r="W7" s="3">
        <f>W6+$P$37</f>
        <v>3060</v>
      </c>
      <c r="X7" s="3">
        <f aca="true" t="shared" si="2" ref="X7:X64">W7*1.18</f>
        <v>3610.7999999999997</v>
      </c>
      <c r="Z7" s="12">
        <f aca="true" t="shared" si="3" ref="Z7:Z64">Z$2</f>
        <v>0.08</v>
      </c>
      <c r="AA7" s="3">
        <f>AA6+$P$37</f>
        <v>2914</v>
      </c>
      <c r="AB7" s="3">
        <f>AB6+V37</f>
        <v>3202.52</v>
      </c>
      <c r="AJ7" s="9"/>
    </row>
    <row r="8" spans="1:36" ht="12.75">
      <c r="A8" s="104" t="s">
        <v>167</v>
      </c>
      <c r="B8" s="104" t="s">
        <v>258</v>
      </c>
      <c r="K8" s="20">
        <f>K$6+K34</f>
        <v>2620</v>
      </c>
      <c r="L8" s="20">
        <f>L6+(L34)</f>
        <v>3091.6</v>
      </c>
      <c r="M8" s="20"/>
      <c r="N8" s="3">
        <f>K8*(100%+S8)</f>
        <v>3144</v>
      </c>
      <c r="O8" s="3">
        <f t="shared" si="1"/>
        <v>3709.9199999999996</v>
      </c>
      <c r="P8" s="91">
        <f>P6+P38</f>
        <v>3100</v>
      </c>
      <c r="Q8" s="86">
        <f>P8*0.18</f>
        <v>558</v>
      </c>
      <c r="R8" s="87">
        <f>Q8+P8</f>
        <v>3658</v>
      </c>
      <c r="S8" s="14">
        <f>S7</f>
        <v>0.2</v>
      </c>
      <c r="T8" s="18">
        <f>(R8-L8)/L8</f>
        <v>0.18320610687022904</v>
      </c>
      <c r="U8" s="12">
        <f>U$2</f>
        <v>0.03</v>
      </c>
      <c r="V8" s="3">
        <f>V7+$P$38</f>
        <v>3211.5</v>
      </c>
      <c r="W8" s="3">
        <f>W7+$P$38</f>
        <v>3210</v>
      </c>
      <c r="X8" s="3">
        <f t="shared" si="2"/>
        <v>3787.7999999999997</v>
      </c>
      <c r="Z8" s="12">
        <f t="shared" si="3"/>
        <v>0.08</v>
      </c>
      <c r="AA8" s="3">
        <f>AA7+$P$37</f>
        <v>3114</v>
      </c>
      <c r="AB8" s="3">
        <f>AB7+V38</f>
        <v>3202.52</v>
      </c>
      <c r="AJ8" s="9"/>
    </row>
    <row r="9" spans="1:46" ht="12.75">
      <c r="A9" s="25" t="s">
        <v>167</v>
      </c>
      <c r="B9" s="25" t="s">
        <v>72</v>
      </c>
      <c r="K9" s="3">
        <v>2300</v>
      </c>
      <c r="L9" s="3">
        <f>ROUND(K9/100*118,)</f>
        <v>2714</v>
      </c>
      <c r="N9" s="3" t="s">
        <v>260</v>
      </c>
      <c r="O9" s="3" t="s">
        <v>260</v>
      </c>
      <c r="P9" s="90" t="s">
        <v>260</v>
      </c>
      <c r="Q9" s="15" t="s">
        <v>260</v>
      </c>
      <c r="R9" s="16" t="s">
        <v>260</v>
      </c>
      <c r="S9" s="14">
        <f>S5</f>
        <v>0.2</v>
      </c>
      <c r="T9" s="18" t="s">
        <v>260</v>
      </c>
      <c r="U9" s="12"/>
      <c r="X9" s="3">
        <f t="shared" si="2"/>
        <v>0</v>
      </c>
      <c r="Z9" s="12" t="s">
        <v>260</v>
      </c>
      <c r="AA9" s="3" t="s">
        <v>260</v>
      </c>
      <c r="AB9" s="3" t="s">
        <v>260</v>
      </c>
      <c r="AJ9" s="9" t="e">
        <f t="shared" si="0"/>
        <v>#DIV/0!</v>
      </c>
      <c r="AT9" s="1">
        <f>2500/1.18</f>
        <v>2118.64406779661</v>
      </c>
    </row>
    <row r="10" spans="14:36" ht="12.75">
      <c r="N10" s="3">
        <f>K10*(100%+S10)</f>
        <v>0</v>
      </c>
      <c r="O10" s="3">
        <f t="shared" si="1"/>
        <v>0</v>
      </c>
      <c r="S10" s="14"/>
      <c r="T10" s="18"/>
      <c r="U10" s="12"/>
      <c r="X10" s="3">
        <f t="shared" si="2"/>
        <v>0</v>
      </c>
      <c r="Z10" s="12">
        <f t="shared" si="3"/>
        <v>0.08</v>
      </c>
      <c r="AJ10" s="9" t="e">
        <f t="shared" si="0"/>
        <v>#DIV/0!</v>
      </c>
    </row>
    <row r="11" spans="1:36" ht="12.75">
      <c r="A11" s="25" t="s">
        <v>261</v>
      </c>
      <c r="B11" s="25" t="s">
        <v>75</v>
      </c>
      <c r="K11" s="3">
        <v>2350</v>
      </c>
      <c r="L11" s="3">
        <f>ROUND(K11/100*118,)</f>
        <v>2773</v>
      </c>
      <c r="N11" s="3" t="s">
        <v>260</v>
      </c>
      <c r="O11" s="3" t="s">
        <v>260</v>
      </c>
      <c r="P11" s="90" t="s">
        <v>260</v>
      </c>
      <c r="Q11" s="15" t="s">
        <v>260</v>
      </c>
      <c r="R11" s="16" t="s">
        <v>260</v>
      </c>
      <c r="S11" s="14">
        <v>0.15</v>
      </c>
      <c r="T11" s="18" t="s">
        <v>260</v>
      </c>
      <c r="U11" s="12"/>
      <c r="X11" s="3">
        <f t="shared" si="2"/>
        <v>0</v>
      </c>
      <c r="Z11" s="12">
        <f t="shared" si="3"/>
        <v>0.08</v>
      </c>
      <c r="AJ11" s="9" t="e">
        <f t="shared" si="0"/>
        <v>#DIV/0!</v>
      </c>
    </row>
    <row r="12" spans="1:36" ht="12.75">
      <c r="A12" s="25" t="s">
        <v>261</v>
      </c>
      <c r="B12" s="25" t="s">
        <v>73</v>
      </c>
      <c r="K12" s="3">
        <v>2800</v>
      </c>
      <c r="L12" s="3">
        <f>ROUND(K12/100*118,)</f>
        <v>3304</v>
      </c>
      <c r="N12" s="3">
        <f>K12*(100%+S12)</f>
        <v>3219.9999999999995</v>
      </c>
      <c r="O12" s="3">
        <f t="shared" si="1"/>
        <v>3799.5999999999995</v>
      </c>
      <c r="P12" s="189">
        <v>3250</v>
      </c>
      <c r="Q12" s="191">
        <f>P12*0.18</f>
        <v>585</v>
      </c>
      <c r="R12" s="192">
        <f>Q12+P12</f>
        <v>3835</v>
      </c>
      <c r="S12" s="14">
        <v>0.15</v>
      </c>
      <c r="T12" s="18">
        <f>(R12-L12)/L12</f>
        <v>0.16071428571428573</v>
      </c>
      <c r="U12" s="12">
        <f aca="true" t="shared" si="4" ref="U12:U19">U$2</f>
        <v>0.03</v>
      </c>
      <c r="V12" s="3">
        <f>ROUND(P12-P12*U12,)</f>
        <v>3153</v>
      </c>
      <c r="W12" s="3">
        <v>3153</v>
      </c>
      <c r="X12" s="3">
        <f t="shared" si="2"/>
        <v>3720.54</v>
      </c>
      <c r="Z12" s="12">
        <f t="shared" si="3"/>
        <v>0.08</v>
      </c>
      <c r="AJ12" s="9" t="e">
        <f t="shared" si="0"/>
        <v>#DIV/0!</v>
      </c>
    </row>
    <row r="13" spans="1:36" ht="12.75">
      <c r="A13" s="104" t="s">
        <v>261</v>
      </c>
      <c r="B13" s="104" t="s">
        <v>142</v>
      </c>
      <c r="K13" s="20">
        <v>2300</v>
      </c>
      <c r="L13" s="20">
        <f>ROUND(K13/100*118,)</f>
        <v>2714</v>
      </c>
      <c r="M13" s="20"/>
      <c r="N13" s="3">
        <f>K13*(100%+S13)</f>
        <v>2645</v>
      </c>
      <c r="O13" s="3">
        <f t="shared" si="1"/>
        <v>3121.1</v>
      </c>
      <c r="P13" s="189">
        <v>2650</v>
      </c>
      <c r="Q13" s="191">
        <f>P13*0.18</f>
        <v>477</v>
      </c>
      <c r="R13" s="192">
        <f>Q13+P13</f>
        <v>3127</v>
      </c>
      <c r="S13" s="14">
        <v>0.15</v>
      </c>
      <c r="T13" s="18">
        <f>(R13-L13)/L13</f>
        <v>0.15217391304347827</v>
      </c>
      <c r="U13" s="40">
        <f t="shared" si="4"/>
        <v>0.03</v>
      </c>
      <c r="V13" s="20">
        <f>ROUND(P13-P13*U13,2)</f>
        <v>2570.5</v>
      </c>
      <c r="W13" s="20">
        <v>2570</v>
      </c>
      <c r="X13" s="20">
        <f t="shared" si="2"/>
        <v>3032.6</v>
      </c>
      <c r="Z13" s="12">
        <f t="shared" si="3"/>
        <v>0.08</v>
      </c>
      <c r="AA13" s="3">
        <f>ROUND($P13-$P13*Z13,)</f>
        <v>2438</v>
      </c>
      <c r="AB13" s="3">
        <f>AA13*1.18</f>
        <v>2876.8399999999997</v>
      </c>
      <c r="AJ13" s="9" t="e">
        <f t="shared" si="0"/>
        <v>#DIV/0!</v>
      </c>
    </row>
    <row r="14" spans="1:36" ht="12.75">
      <c r="A14" s="104" t="s">
        <v>261</v>
      </c>
      <c r="B14" s="104" t="s">
        <v>257</v>
      </c>
      <c r="K14" s="20">
        <f>K13+K34+K35</f>
        <v>2535</v>
      </c>
      <c r="L14" s="20">
        <f>L13+(L34+L35)</f>
        <v>2991.3</v>
      </c>
      <c r="M14" s="20"/>
      <c r="N14" s="3">
        <f>K14*(100%+S14)</f>
        <v>2915.25</v>
      </c>
      <c r="O14" s="3">
        <f t="shared" si="1"/>
        <v>3439.995</v>
      </c>
      <c r="P14" s="190">
        <f>P13+P37</f>
        <v>2850</v>
      </c>
      <c r="Q14" s="193">
        <f>P14/100*18</f>
        <v>513</v>
      </c>
      <c r="R14" s="193">
        <f>P14+Q14</f>
        <v>3363</v>
      </c>
      <c r="S14" s="14">
        <f>S13</f>
        <v>0.15</v>
      </c>
      <c r="T14" s="18">
        <f>(R14-L14)/L14</f>
        <v>0.12426035502958573</v>
      </c>
      <c r="U14" s="12">
        <f t="shared" si="4"/>
        <v>0.03</v>
      </c>
      <c r="V14" s="3">
        <f>V13+$P$37</f>
        <v>2770.5</v>
      </c>
      <c r="W14" s="3">
        <v>2770</v>
      </c>
      <c r="X14" s="3">
        <f t="shared" si="2"/>
        <v>3268.6</v>
      </c>
      <c r="Z14" s="12">
        <f t="shared" si="3"/>
        <v>0.08</v>
      </c>
      <c r="AA14" s="3">
        <f>AA13+$P$37</f>
        <v>2638</v>
      </c>
      <c r="AB14" s="3">
        <f>AB13+V37</f>
        <v>2876.8399999999997</v>
      </c>
      <c r="AJ14" s="9"/>
    </row>
    <row r="15" spans="1:36" ht="12.75">
      <c r="A15" s="25" t="s">
        <v>261</v>
      </c>
      <c r="B15" s="25" t="s">
        <v>72</v>
      </c>
      <c r="K15" s="3">
        <v>2200</v>
      </c>
      <c r="L15" s="3">
        <f>ROUND(K15/100*118,)</f>
        <v>2596</v>
      </c>
      <c r="N15" s="3">
        <f>K15*(100%+S15)</f>
        <v>2530</v>
      </c>
      <c r="O15" s="3">
        <f t="shared" si="1"/>
        <v>2985.3999999999996</v>
      </c>
      <c r="P15" s="189">
        <v>2550</v>
      </c>
      <c r="Q15" s="191">
        <f>P15*0.18</f>
        <v>459</v>
      </c>
      <c r="R15" s="192">
        <f>Q15+P15</f>
        <v>3009</v>
      </c>
      <c r="S15" s="14">
        <v>0.15</v>
      </c>
      <c r="T15" s="18">
        <f>(R15-L15)/L15</f>
        <v>0.1590909090909091</v>
      </c>
      <c r="U15" s="12">
        <f t="shared" si="4"/>
        <v>0.03</v>
      </c>
      <c r="V15" s="3">
        <f>ROUND(P15-P15*U15,)</f>
        <v>2474</v>
      </c>
      <c r="W15" s="3">
        <v>2474</v>
      </c>
      <c r="X15" s="3">
        <f t="shared" si="2"/>
        <v>2919.3199999999997</v>
      </c>
      <c r="Z15" s="12">
        <f t="shared" si="3"/>
        <v>0.08</v>
      </c>
      <c r="AA15" s="3">
        <f>ROUND($P15-$P15*Z15,)</f>
        <v>2346</v>
      </c>
      <c r="AB15" s="3">
        <f>AA15*1.18</f>
        <v>2768.2799999999997</v>
      </c>
      <c r="AJ15" s="9" t="e">
        <f t="shared" si="0"/>
        <v>#DIV/0!</v>
      </c>
    </row>
    <row r="16" spans="19:36" ht="12.75">
      <c r="S16" s="14"/>
      <c r="T16" s="18"/>
      <c r="U16" s="12">
        <f t="shared" si="4"/>
        <v>0.03</v>
      </c>
      <c r="V16" s="3">
        <f>ROUND(P16-P16*U16,)</f>
        <v>0</v>
      </c>
      <c r="X16" s="3">
        <f t="shared" si="2"/>
        <v>0</v>
      </c>
      <c r="Z16" s="12">
        <f t="shared" si="3"/>
        <v>0.08</v>
      </c>
      <c r="AJ16" s="9" t="e">
        <f t="shared" si="0"/>
        <v>#DIV/0!</v>
      </c>
    </row>
    <row r="17" spans="1:36" ht="12.75">
      <c r="A17" s="25" t="s">
        <v>74</v>
      </c>
      <c r="B17" s="25" t="s">
        <v>73</v>
      </c>
      <c r="K17" s="3">
        <v>3700</v>
      </c>
      <c r="L17" s="3">
        <f>ROUND(K17/100*118,)</f>
        <v>4366</v>
      </c>
      <c r="N17" s="3">
        <f aca="true" t="shared" si="5" ref="N17:N23">K17*(100%+S17)</f>
        <v>4255</v>
      </c>
      <c r="O17" s="3">
        <f t="shared" si="1"/>
        <v>5020.9</v>
      </c>
      <c r="P17" s="189">
        <v>4250</v>
      </c>
      <c r="Q17" s="191">
        <f>P17*0.18</f>
        <v>765</v>
      </c>
      <c r="R17" s="192">
        <f>Q17+P17</f>
        <v>5015</v>
      </c>
      <c r="S17" s="14">
        <v>0.15</v>
      </c>
      <c r="T17" s="18">
        <f>(R17-L17)/L17</f>
        <v>0.14864864864864866</v>
      </c>
      <c r="U17" s="12">
        <f t="shared" si="4"/>
        <v>0.03</v>
      </c>
      <c r="V17" s="3">
        <f>ROUND(P17-P17*U17,)</f>
        <v>4123</v>
      </c>
      <c r="W17" s="3">
        <v>4123</v>
      </c>
      <c r="X17" s="3">
        <f t="shared" si="2"/>
        <v>4865.139999999999</v>
      </c>
      <c r="Z17" s="12">
        <f t="shared" si="3"/>
        <v>0.08</v>
      </c>
      <c r="AJ17" s="9" t="e">
        <f t="shared" si="0"/>
        <v>#DIV/0!</v>
      </c>
    </row>
    <row r="18" spans="1:36" ht="12.75">
      <c r="A18" s="104" t="s">
        <v>74</v>
      </c>
      <c r="B18" s="104" t="s">
        <v>142</v>
      </c>
      <c r="K18" s="20">
        <v>3200</v>
      </c>
      <c r="L18" s="20">
        <f>ROUND(K18/100*118,)</f>
        <v>3776</v>
      </c>
      <c r="M18" s="20"/>
      <c r="N18" s="3">
        <f t="shared" si="5"/>
        <v>3679.9999999999995</v>
      </c>
      <c r="O18" s="3">
        <f t="shared" si="1"/>
        <v>4342.4</v>
      </c>
      <c r="P18" s="189">
        <v>3700</v>
      </c>
      <c r="Q18" s="191">
        <f>P18*0.18</f>
        <v>666</v>
      </c>
      <c r="R18" s="192">
        <f>Q18+P18</f>
        <v>4366</v>
      </c>
      <c r="S18" s="14">
        <v>0.15</v>
      </c>
      <c r="T18" s="18">
        <f>(R18-L18)/L18</f>
        <v>0.15625</v>
      </c>
      <c r="U18" s="40">
        <f t="shared" si="4"/>
        <v>0.03</v>
      </c>
      <c r="V18" s="86">
        <f>ROUND(P18-P18*U18,)</f>
        <v>3589</v>
      </c>
      <c r="W18" s="86">
        <v>3589</v>
      </c>
      <c r="X18" s="20">
        <f t="shared" si="2"/>
        <v>4235.0199999999995</v>
      </c>
      <c r="Z18" s="12">
        <f t="shared" si="3"/>
        <v>0.08</v>
      </c>
      <c r="AA18" s="3">
        <f>ROUND($P18-$P18*Z18,)</f>
        <v>3404</v>
      </c>
      <c r="AB18" s="3">
        <f>AA18*1.18</f>
        <v>4016.72</v>
      </c>
      <c r="AJ18" s="9" t="e">
        <f t="shared" si="0"/>
        <v>#DIV/0!</v>
      </c>
    </row>
    <row r="19" spans="1:36" ht="12.75">
      <c r="A19" s="104" t="s">
        <v>74</v>
      </c>
      <c r="B19" s="104" t="s">
        <v>257</v>
      </c>
      <c r="K19" s="20">
        <f>K18+K34+K35</f>
        <v>3435</v>
      </c>
      <c r="L19" s="20">
        <f>L18+(L34+L35)</f>
        <v>4053.3</v>
      </c>
      <c r="M19" s="20"/>
      <c r="N19" s="3">
        <f t="shared" si="5"/>
        <v>3950.2499999999995</v>
      </c>
      <c r="O19" s="3">
        <f t="shared" si="1"/>
        <v>4661.294999999999</v>
      </c>
      <c r="P19" s="190">
        <f>P18+P37</f>
        <v>3900</v>
      </c>
      <c r="Q19" s="193">
        <f>Q18+Q37</f>
        <v>702</v>
      </c>
      <c r="R19" s="193">
        <f>R18+R37</f>
        <v>4602</v>
      </c>
      <c r="S19" s="14">
        <f>S18</f>
        <v>0.15</v>
      </c>
      <c r="T19" s="18">
        <f>(R19-L19)/L19</f>
        <v>0.13537117903930126</v>
      </c>
      <c r="U19" s="12">
        <f t="shared" si="4"/>
        <v>0.03</v>
      </c>
      <c r="V19" s="3">
        <f>V18+$P$37</f>
        <v>3789</v>
      </c>
      <c r="W19" s="3">
        <v>3789</v>
      </c>
      <c r="X19" s="3">
        <f t="shared" si="2"/>
        <v>4471.0199999999995</v>
      </c>
      <c r="Z19" s="12">
        <f t="shared" si="3"/>
        <v>0.08</v>
      </c>
      <c r="AA19" s="3">
        <f>AA18+$P$37</f>
        <v>3604</v>
      </c>
      <c r="AB19" s="3">
        <f aca="true" t="shared" si="6" ref="AB19:AB32">AA19*1.18</f>
        <v>4252.719999999999</v>
      </c>
      <c r="AJ19" s="9"/>
    </row>
    <row r="20" spans="3:62" s="26" customFormat="1" ht="12.75">
      <c r="C20" s="93"/>
      <c r="D20" s="93"/>
      <c r="E20" s="93"/>
      <c r="F20" s="94"/>
      <c r="G20" s="101"/>
      <c r="H20" s="103"/>
      <c r="I20" s="101"/>
      <c r="J20" s="102"/>
      <c r="K20" s="6"/>
      <c r="L20" s="6"/>
      <c r="M20" s="6"/>
      <c r="N20" s="3">
        <f t="shared" si="5"/>
        <v>0</v>
      </c>
      <c r="O20" s="3"/>
      <c r="P20" s="90"/>
      <c r="Q20" s="15"/>
      <c r="R20" s="16"/>
      <c r="S20" s="14"/>
      <c r="T20" s="18"/>
      <c r="U20" s="12"/>
      <c r="V20" s="3"/>
      <c r="W20" s="3"/>
      <c r="X20" s="3"/>
      <c r="Y20" s="3"/>
      <c r="Z20" s="12">
        <f t="shared" si="3"/>
        <v>0.08</v>
      </c>
      <c r="AA20" s="3">
        <f aca="true" t="shared" si="7" ref="AA20:AA32">ROUND($P20-$P20*Z20,)</f>
        <v>0</v>
      </c>
      <c r="AB20" s="3">
        <f t="shared" si="6"/>
        <v>0</v>
      </c>
      <c r="AC20" s="2"/>
      <c r="AD20" s="5"/>
      <c r="AE20" s="5"/>
      <c r="AF20" s="5"/>
      <c r="AG20" s="5"/>
      <c r="AH20" s="5"/>
      <c r="AI20" s="5"/>
      <c r="AJ20" s="9" t="e">
        <f t="shared" si="0"/>
        <v>#DIV/0!</v>
      </c>
      <c r="AK20" s="2"/>
      <c r="AL20" s="5"/>
      <c r="AM20" s="5"/>
      <c r="AN20" s="5"/>
      <c r="AO20" s="2"/>
      <c r="AP20" s="5"/>
      <c r="AQ20" s="5"/>
      <c r="AR20" s="5"/>
      <c r="AS20" s="2"/>
      <c r="AT20" s="5"/>
      <c r="AU20" s="5"/>
      <c r="AV20" s="5"/>
      <c r="AW20" s="2"/>
      <c r="AX20" s="5"/>
      <c r="AZ20" s="2"/>
      <c r="BA20" s="5"/>
      <c r="BC20" s="2"/>
      <c r="BF20" s="21"/>
      <c r="BG20" s="5"/>
      <c r="BI20" s="2"/>
      <c r="BJ20" s="5"/>
    </row>
    <row r="21" spans="1:36" ht="12.75">
      <c r="A21" s="25" t="s">
        <v>65</v>
      </c>
      <c r="B21" s="25" t="s">
        <v>73</v>
      </c>
      <c r="K21" s="3">
        <v>3700</v>
      </c>
      <c r="L21" s="3">
        <f>ROUND(K21/100*118,)</f>
        <v>4366</v>
      </c>
      <c r="N21" s="3">
        <f t="shared" si="5"/>
        <v>4255</v>
      </c>
      <c r="O21" s="3">
        <f t="shared" si="1"/>
        <v>5020.9</v>
      </c>
      <c r="P21" s="189">
        <v>4250</v>
      </c>
      <c r="Q21" s="191">
        <f>P21*0.18</f>
        <v>765</v>
      </c>
      <c r="R21" s="192">
        <f>Q21+P21</f>
        <v>5015</v>
      </c>
      <c r="S21" s="14">
        <v>0.15</v>
      </c>
      <c r="T21" s="18">
        <f>(R21-L21)/L21</f>
        <v>0.14864864864864866</v>
      </c>
      <c r="U21" s="12">
        <f>U$2</f>
        <v>0.03</v>
      </c>
      <c r="V21" s="3">
        <f>ROUND(P21-P21*U21,)</f>
        <v>4123</v>
      </c>
      <c r="W21" s="3">
        <v>4123</v>
      </c>
      <c r="X21" s="3">
        <f t="shared" si="2"/>
        <v>4865.139999999999</v>
      </c>
      <c r="Z21" s="12">
        <f t="shared" si="3"/>
        <v>0.08</v>
      </c>
      <c r="AA21" s="3">
        <f t="shared" si="7"/>
        <v>3910</v>
      </c>
      <c r="AB21" s="3">
        <f t="shared" si="6"/>
        <v>4613.8</v>
      </c>
      <c r="AH21" s="1">
        <v>0</v>
      </c>
      <c r="AJ21" s="9" t="e">
        <f t="shared" si="0"/>
        <v>#DIV/0!</v>
      </c>
    </row>
    <row r="22" spans="1:46" ht="12.75">
      <c r="A22" s="104" t="s">
        <v>65</v>
      </c>
      <c r="B22" s="104" t="s">
        <v>142</v>
      </c>
      <c r="K22" s="20">
        <v>3200</v>
      </c>
      <c r="L22" s="20">
        <f>ROUND(K22/100*118,)</f>
        <v>3776</v>
      </c>
      <c r="M22" s="20"/>
      <c r="N22" s="3">
        <f t="shared" si="5"/>
        <v>3679.9999999999995</v>
      </c>
      <c r="O22" s="3">
        <f t="shared" si="1"/>
        <v>4342.4</v>
      </c>
      <c r="P22" s="189">
        <v>3700</v>
      </c>
      <c r="Q22" s="191">
        <f>P22*0.18</f>
        <v>666</v>
      </c>
      <c r="R22" s="192">
        <f>Q22+P22</f>
        <v>4366</v>
      </c>
      <c r="S22" s="14">
        <v>0.15</v>
      </c>
      <c r="T22" s="18">
        <f>(R22-L22)/L22</f>
        <v>0.15625</v>
      </c>
      <c r="U22" s="40">
        <f>U$2</f>
        <v>0.03</v>
      </c>
      <c r="V22" s="20">
        <f>ROUND(P22-P22*U22,)</f>
        <v>3589</v>
      </c>
      <c r="W22" s="20">
        <v>3589</v>
      </c>
      <c r="X22" s="20">
        <f t="shared" si="2"/>
        <v>4235.0199999999995</v>
      </c>
      <c r="Z22" s="12">
        <v>0.08</v>
      </c>
      <c r="AA22" s="3">
        <f t="shared" si="7"/>
        <v>3404</v>
      </c>
      <c r="AB22" s="3">
        <f t="shared" si="6"/>
        <v>4016.72</v>
      </c>
      <c r="AH22" s="1">
        <v>0</v>
      </c>
      <c r="AJ22" s="9" t="e">
        <f t="shared" si="0"/>
        <v>#DIV/0!</v>
      </c>
      <c r="AT22" s="1">
        <f>7260/1.18</f>
        <v>6152.542372881357</v>
      </c>
    </row>
    <row r="23" spans="1:36" ht="12.75">
      <c r="A23" s="104" t="s">
        <v>65</v>
      </c>
      <c r="B23" s="104" t="s">
        <v>257</v>
      </c>
      <c r="K23" s="20">
        <f>K22+K$34+K$35</f>
        <v>3435</v>
      </c>
      <c r="L23" s="20">
        <f>L22+(L34+L35)</f>
        <v>4053.3</v>
      </c>
      <c r="M23" s="20"/>
      <c r="N23" s="3">
        <f t="shared" si="5"/>
        <v>3950.2499999999995</v>
      </c>
      <c r="O23" s="3">
        <f t="shared" si="1"/>
        <v>4661.294999999999</v>
      </c>
      <c r="P23" s="190">
        <f>P22+P37</f>
        <v>3900</v>
      </c>
      <c r="Q23" s="193">
        <f>Q22+Q37</f>
        <v>702</v>
      </c>
      <c r="R23" s="193">
        <f>R22+R37</f>
        <v>4602</v>
      </c>
      <c r="S23" s="14">
        <f>S22</f>
        <v>0.15</v>
      </c>
      <c r="T23" s="18">
        <f>(R23-L23)/L23</f>
        <v>0.13537117903930126</v>
      </c>
      <c r="U23" s="12">
        <f>U$2</f>
        <v>0.03</v>
      </c>
      <c r="V23" s="3">
        <f>V22+$P$37</f>
        <v>3789</v>
      </c>
      <c r="W23" s="3">
        <v>3789</v>
      </c>
      <c r="X23" s="3">
        <f t="shared" si="2"/>
        <v>4471.0199999999995</v>
      </c>
      <c r="Z23" s="12">
        <v>0.08</v>
      </c>
      <c r="AA23" s="3">
        <f>AA22+$P$37</f>
        <v>3604</v>
      </c>
      <c r="AB23" s="3">
        <f t="shared" si="6"/>
        <v>4252.719999999999</v>
      </c>
      <c r="AJ23" s="9"/>
    </row>
    <row r="24" spans="1:62" s="26" customFormat="1" ht="12.75">
      <c r="A24" s="26" t="s">
        <v>65</v>
      </c>
      <c r="B24" s="26" t="s">
        <v>75</v>
      </c>
      <c r="C24" s="93"/>
      <c r="D24" s="93"/>
      <c r="E24" s="93"/>
      <c r="F24" s="94"/>
      <c r="G24" s="101"/>
      <c r="H24" s="103"/>
      <c r="I24" s="101"/>
      <c r="J24" s="102"/>
      <c r="K24" s="6"/>
      <c r="L24" s="6"/>
      <c r="M24" s="6"/>
      <c r="N24" s="3"/>
      <c r="O24" s="3"/>
      <c r="P24" s="90"/>
      <c r="Q24" s="15"/>
      <c r="R24" s="16"/>
      <c r="S24" s="14"/>
      <c r="T24" s="18"/>
      <c r="U24" s="12"/>
      <c r="V24" s="3"/>
      <c r="W24" s="3"/>
      <c r="X24" s="3">
        <f t="shared" si="2"/>
        <v>0</v>
      </c>
      <c r="Y24" s="3"/>
      <c r="Z24" s="12">
        <f t="shared" si="3"/>
        <v>0.08</v>
      </c>
      <c r="AA24" s="3">
        <f t="shared" si="7"/>
        <v>0</v>
      </c>
      <c r="AB24" s="3">
        <f t="shared" si="6"/>
        <v>0</v>
      </c>
      <c r="AC24" s="2"/>
      <c r="AD24" s="5">
        <v>2222</v>
      </c>
      <c r="AE24" s="5"/>
      <c r="AF24" s="5"/>
      <c r="AG24" s="5"/>
      <c r="AH24" s="5">
        <v>2560</v>
      </c>
      <c r="AI24" s="5"/>
      <c r="AJ24" s="9">
        <f t="shared" si="0"/>
        <v>0.15211521152115212</v>
      </c>
      <c r="AK24" s="2"/>
      <c r="AL24" s="5">
        <v>2900</v>
      </c>
      <c r="AM24" s="5">
        <v>3335</v>
      </c>
      <c r="AN24" s="10">
        <f>(AM24-AL24)/AL24</f>
        <v>0.15</v>
      </c>
      <c r="AO24" s="2"/>
      <c r="AP24" s="5">
        <v>3250</v>
      </c>
      <c r="AQ24" s="5"/>
      <c r="AR24" s="10">
        <f>(AQ24-AP24)/AP24</f>
        <v>-1</v>
      </c>
      <c r="AS24" s="2"/>
      <c r="AT24" s="5">
        <f>5060/1.18</f>
        <v>4288.13559322034</v>
      </c>
      <c r="AU24" s="5"/>
      <c r="AV24" s="10">
        <f>(AU24-AT24)/AT24</f>
        <v>-1</v>
      </c>
      <c r="AW24" s="2"/>
      <c r="AX24" s="5">
        <v>3050</v>
      </c>
      <c r="AZ24" s="2"/>
      <c r="BA24" s="5"/>
      <c r="BC24" s="2"/>
      <c r="BF24" s="21"/>
      <c r="BG24" s="5"/>
      <c r="BI24" s="2"/>
      <c r="BJ24" s="5"/>
    </row>
    <row r="25" spans="3:62" s="26" customFormat="1" ht="12.75">
      <c r="C25" s="93"/>
      <c r="D25" s="93"/>
      <c r="E25" s="93"/>
      <c r="F25" s="94"/>
      <c r="G25" s="101"/>
      <c r="H25" s="103"/>
      <c r="I25" s="101"/>
      <c r="J25" s="102"/>
      <c r="K25" s="6"/>
      <c r="L25" s="6"/>
      <c r="M25" s="6"/>
      <c r="N25" s="3"/>
      <c r="O25" s="3"/>
      <c r="P25" s="90"/>
      <c r="Q25" s="15"/>
      <c r="R25" s="16"/>
      <c r="S25" s="14"/>
      <c r="T25" s="18"/>
      <c r="U25" s="12"/>
      <c r="V25" s="3"/>
      <c r="W25" s="3"/>
      <c r="X25" s="3">
        <f t="shared" si="2"/>
        <v>0</v>
      </c>
      <c r="Y25" s="3"/>
      <c r="Z25" s="12">
        <f t="shared" si="3"/>
        <v>0.08</v>
      </c>
      <c r="AA25" s="3">
        <f t="shared" si="7"/>
        <v>0</v>
      </c>
      <c r="AB25" s="3">
        <f t="shared" si="6"/>
        <v>0</v>
      </c>
      <c r="AC25" s="2"/>
      <c r="AD25" s="5"/>
      <c r="AE25" s="5"/>
      <c r="AF25" s="5"/>
      <c r="AG25" s="5"/>
      <c r="AH25" s="5"/>
      <c r="AI25" s="5"/>
      <c r="AJ25" s="9" t="e">
        <f t="shared" si="0"/>
        <v>#DIV/0!</v>
      </c>
      <c r="AK25" s="2"/>
      <c r="AL25" s="5"/>
      <c r="AM25" s="5"/>
      <c r="AN25" s="5"/>
      <c r="AO25" s="2"/>
      <c r="AP25" s="5"/>
      <c r="AQ25" s="5"/>
      <c r="AR25" s="5"/>
      <c r="AS25" s="2"/>
      <c r="AT25" s="5"/>
      <c r="AU25" s="5"/>
      <c r="AV25" s="5"/>
      <c r="AW25" s="2"/>
      <c r="AX25" s="5"/>
      <c r="AZ25" s="2"/>
      <c r="BA25" s="5"/>
      <c r="BC25" s="2"/>
      <c r="BF25" s="21"/>
      <c r="BG25" s="5"/>
      <c r="BI25" s="2"/>
      <c r="BJ25" s="5"/>
    </row>
    <row r="26" spans="1:42" ht="12.75">
      <c r="A26" s="25" t="s">
        <v>77</v>
      </c>
      <c r="B26" s="25" t="s">
        <v>75</v>
      </c>
      <c r="K26" s="3">
        <v>3150</v>
      </c>
      <c r="L26" s="3">
        <f aca="true" t="shared" si="8" ref="L26:L32">ROUND(K26/100*118,)</f>
        <v>3717</v>
      </c>
      <c r="N26" s="3" t="s">
        <v>256</v>
      </c>
      <c r="O26" s="3" t="s">
        <v>256</v>
      </c>
      <c r="P26" s="90" t="s">
        <v>256</v>
      </c>
      <c r="Q26" s="15" t="s">
        <v>256</v>
      </c>
      <c r="R26" s="16" t="s">
        <v>256</v>
      </c>
      <c r="S26" s="14" t="s">
        <v>260</v>
      </c>
      <c r="T26" s="18" t="s">
        <v>260</v>
      </c>
      <c r="U26" s="12" t="s">
        <v>260</v>
      </c>
      <c r="V26" s="3" t="s">
        <v>260</v>
      </c>
      <c r="X26" s="3">
        <f t="shared" si="2"/>
        <v>0</v>
      </c>
      <c r="Z26" s="12">
        <f t="shared" si="3"/>
        <v>0.08</v>
      </c>
      <c r="AA26" s="3" t="e">
        <f t="shared" si="7"/>
        <v>#VALUE!</v>
      </c>
      <c r="AB26" s="3" t="e">
        <f t="shared" si="6"/>
        <v>#VALUE!</v>
      </c>
      <c r="AJ26" s="9" t="e">
        <f t="shared" si="0"/>
        <v>#DIV/0!</v>
      </c>
      <c r="AP26" s="1">
        <v>3020</v>
      </c>
    </row>
    <row r="27" spans="1:36" ht="12.75">
      <c r="A27" s="104" t="s">
        <v>77</v>
      </c>
      <c r="B27" s="104" t="s">
        <v>142</v>
      </c>
      <c r="K27" s="20">
        <v>3300</v>
      </c>
      <c r="L27" s="20">
        <f t="shared" si="8"/>
        <v>3894</v>
      </c>
      <c r="M27" s="20"/>
      <c r="N27" s="3">
        <f>K27*(100%+S27)</f>
        <v>3300</v>
      </c>
      <c r="O27" s="3">
        <f t="shared" si="1"/>
        <v>3894</v>
      </c>
      <c r="P27" s="189">
        <v>2900</v>
      </c>
      <c r="Q27" s="191">
        <f>P27*0.18</f>
        <v>522</v>
      </c>
      <c r="R27" s="192">
        <f>Q27+P27</f>
        <v>3422</v>
      </c>
      <c r="S27" s="14">
        <v>0</v>
      </c>
      <c r="T27" s="18">
        <f>(R27-L27)/L27</f>
        <v>-0.12121212121212122</v>
      </c>
      <c r="U27" s="40">
        <f>U$2</f>
        <v>0.03</v>
      </c>
      <c r="V27" s="20">
        <f>ROUND(P27-P27*U27,)</f>
        <v>2813</v>
      </c>
      <c r="W27" s="20">
        <v>2813</v>
      </c>
      <c r="X27" s="20">
        <f t="shared" si="2"/>
        <v>3319.3399999999997</v>
      </c>
      <c r="Z27" s="12">
        <f t="shared" si="3"/>
        <v>0.08</v>
      </c>
      <c r="AA27" s="3">
        <f t="shared" si="7"/>
        <v>2668</v>
      </c>
      <c r="AB27" s="3">
        <f t="shared" si="6"/>
        <v>3148.24</v>
      </c>
      <c r="AJ27" s="9" t="e">
        <f t="shared" si="0"/>
        <v>#DIV/0!</v>
      </c>
    </row>
    <row r="28" spans="1:36" ht="12.75">
      <c r="A28" s="104" t="s">
        <v>77</v>
      </c>
      <c r="B28" s="104" t="s">
        <v>257</v>
      </c>
      <c r="K28" s="20">
        <f>K27+K$34+K$35</f>
        <v>3535</v>
      </c>
      <c r="L28" s="20">
        <f t="shared" si="8"/>
        <v>4171</v>
      </c>
      <c r="M28" s="20"/>
      <c r="N28" s="3">
        <f>K28*(100%+S28)</f>
        <v>3535</v>
      </c>
      <c r="O28" s="3">
        <f t="shared" si="1"/>
        <v>4171.3</v>
      </c>
      <c r="P28" s="189">
        <f>P27+P37</f>
        <v>3100</v>
      </c>
      <c r="Q28" s="191">
        <f>Q27+Q37</f>
        <v>558</v>
      </c>
      <c r="R28" s="191">
        <f>R27+R37</f>
        <v>3658</v>
      </c>
      <c r="S28" s="14">
        <v>0</v>
      </c>
      <c r="T28" s="18">
        <f>(R28-L28)/L28</f>
        <v>-0.12299208822824263</v>
      </c>
      <c r="U28" s="12">
        <f>U$2</f>
        <v>0.03</v>
      </c>
      <c r="V28" s="3">
        <f>ROUND(P28-P28*U28,)</f>
        <v>3007</v>
      </c>
      <c r="W28" s="3">
        <v>3007</v>
      </c>
      <c r="X28" s="3">
        <f t="shared" si="2"/>
        <v>3548.2599999999998</v>
      </c>
      <c r="Z28" s="12">
        <f t="shared" si="3"/>
        <v>0.08</v>
      </c>
      <c r="AA28" s="3">
        <f>AA27+$P$37</f>
        <v>2868</v>
      </c>
      <c r="AB28" s="3">
        <f t="shared" si="6"/>
        <v>3384.24</v>
      </c>
      <c r="AJ28" s="9" t="e">
        <f>(AH28-AD28)/AD28</f>
        <v>#DIV/0!</v>
      </c>
    </row>
    <row r="29" spans="1:36" ht="12.75">
      <c r="A29" s="25" t="s">
        <v>76</v>
      </c>
      <c r="B29" s="25" t="s">
        <v>75</v>
      </c>
      <c r="K29" s="3">
        <v>3050</v>
      </c>
      <c r="L29" s="3">
        <f t="shared" si="8"/>
        <v>3599</v>
      </c>
      <c r="N29" s="3" t="s">
        <v>256</v>
      </c>
      <c r="O29" s="3" t="s">
        <v>256</v>
      </c>
      <c r="P29" s="90" t="s">
        <v>256</v>
      </c>
      <c r="Q29" s="15" t="s">
        <v>256</v>
      </c>
      <c r="R29" s="16" t="s">
        <v>256</v>
      </c>
      <c r="S29" s="14" t="s">
        <v>256</v>
      </c>
      <c r="T29" s="18" t="s">
        <v>256</v>
      </c>
      <c r="U29" s="12" t="s">
        <v>256</v>
      </c>
      <c r="V29" s="3" t="s">
        <v>256</v>
      </c>
      <c r="W29" s="3" t="s">
        <v>260</v>
      </c>
      <c r="X29" s="3" t="s">
        <v>260</v>
      </c>
      <c r="Z29" s="12">
        <f t="shared" si="3"/>
        <v>0.08</v>
      </c>
      <c r="AA29" s="3" t="e">
        <f t="shared" si="7"/>
        <v>#VALUE!</v>
      </c>
      <c r="AB29" s="3" t="e">
        <f t="shared" si="6"/>
        <v>#VALUE!</v>
      </c>
      <c r="AJ29" s="9" t="e">
        <f t="shared" si="0"/>
        <v>#DIV/0!</v>
      </c>
    </row>
    <row r="30" spans="1:36" ht="12.75">
      <c r="A30" s="104" t="s">
        <v>76</v>
      </c>
      <c r="B30" s="104" t="s">
        <v>142</v>
      </c>
      <c r="K30" s="20">
        <v>3200</v>
      </c>
      <c r="L30" s="20">
        <f t="shared" si="8"/>
        <v>3776</v>
      </c>
      <c r="M30" s="20"/>
      <c r="N30" s="3">
        <f aca="true" t="shared" si="9" ref="N30:N35">K30*(100%+S30)</f>
        <v>3200</v>
      </c>
      <c r="O30" s="3">
        <f t="shared" si="1"/>
        <v>3776</v>
      </c>
      <c r="P30" s="189">
        <v>2600</v>
      </c>
      <c r="Q30" s="191">
        <f>P30*0.18</f>
        <v>468</v>
      </c>
      <c r="R30" s="192">
        <f>Q30+P30</f>
        <v>3068</v>
      </c>
      <c r="S30" s="14">
        <v>0</v>
      </c>
      <c r="T30" s="18">
        <f>(R30-L30)/L30</f>
        <v>-0.1875</v>
      </c>
      <c r="U30" s="40">
        <f>U$2</f>
        <v>0.03</v>
      </c>
      <c r="V30" s="20">
        <f>ROUND(P30-P30*U30,)</f>
        <v>2522</v>
      </c>
      <c r="W30" s="20">
        <v>2522</v>
      </c>
      <c r="X30" s="20">
        <f t="shared" si="2"/>
        <v>2975.96</v>
      </c>
      <c r="Z30" s="12">
        <f t="shared" si="3"/>
        <v>0.08</v>
      </c>
      <c r="AA30" s="3">
        <f t="shared" si="7"/>
        <v>2392</v>
      </c>
      <c r="AB30" s="3">
        <f t="shared" si="6"/>
        <v>2822.56</v>
      </c>
      <c r="AJ30" s="9" t="e">
        <f t="shared" si="0"/>
        <v>#DIV/0!</v>
      </c>
    </row>
    <row r="31" spans="1:36" ht="12.75">
      <c r="A31" s="104" t="s">
        <v>76</v>
      </c>
      <c r="B31" s="104" t="s">
        <v>257</v>
      </c>
      <c r="K31" s="20">
        <f>K30+K$34+K$35</f>
        <v>3435</v>
      </c>
      <c r="L31" s="20">
        <f t="shared" si="8"/>
        <v>4053</v>
      </c>
      <c r="M31" s="20"/>
      <c r="N31" s="3">
        <f t="shared" si="9"/>
        <v>3435</v>
      </c>
      <c r="O31" s="3">
        <f t="shared" si="1"/>
        <v>4053.2999999999997</v>
      </c>
      <c r="P31" s="189">
        <f>P30+P37</f>
        <v>2800</v>
      </c>
      <c r="Q31" s="191">
        <f>Q30+Q37</f>
        <v>504</v>
      </c>
      <c r="R31" s="191">
        <f>R30+R37</f>
        <v>3304</v>
      </c>
      <c r="S31" s="14">
        <v>0</v>
      </c>
      <c r="T31" s="18">
        <f>(R31-L31)/L31</f>
        <v>-0.1848013816925734</v>
      </c>
      <c r="U31" s="12">
        <f>U$2</f>
        <v>0.03</v>
      </c>
      <c r="V31" s="3">
        <f>ROUND(P31-P31*U31,)</f>
        <v>2716</v>
      </c>
      <c r="W31" s="3">
        <v>2716</v>
      </c>
      <c r="X31" s="3">
        <f t="shared" si="2"/>
        <v>3204.8799999999997</v>
      </c>
      <c r="Z31" s="12">
        <f t="shared" si="3"/>
        <v>0.08</v>
      </c>
      <c r="AA31" s="3">
        <f t="shared" si="7"/>
        <v>2576</v>
      </c>
      <c r="AB31" s="3">
        <f t="shared" si="6"/>
        <v>3039.68</v>
      </c>
      <c r="AJ31" s="9" t="e">
        <f>(AH31-AD31)/AD31</f>
        <v>#DIV/0!</v>
      </c>
    </row>
    <row r="32" spans="1:36" ht="12.75">
      <c r="A32" s="104" t="s">
        <v>76</v>
      </c>
      <c r="B32" s="104" t="s">
        <v>72</v>
      </c>
      <c r="K32" s="20">
        <v>3200</v>
      </c>
      <c r="L32" s="20">
        <f t="shared" si="8"/>
        <v>3776</v>
      </c>
      <c r="M32" s="20"/>
      <c r="N32" s="3">
        <f t="shared" si="9"/>
        <v>3200</v>
      </c>
      <c r="O32" s="3">
        <f t="shared" si="1"/>
        <v>3776</v>
      </c>
      <c r="P32" s="189">
        <v>2500</v>
      </c>
      <c r="Q32" s="191">
        <f>P32*0.18</f>
        <v>450</v>
      </c>
      <c r="R32" s="192">
        <f>Q32+P32</f>
        <v>2950</v>
      </c>
      <c r="S32" s="14">
        <v>0</v>
      </c>
      <c r="T32" s="18">
        <f>(R32-L32)/L32</f>
        <v>-0.21875</v>
      </c>
      <c r="U32" s="12">
        <f>U$2</f>
        <v>0.03</v>
      </c>
      <c r="V32" s="3">
        <f>ROUND(P32-P32*U32,)</f>
        <v>2425</v>
      </c>
      <c r="W32" s="3">
        <v>2425</v>
      </c>
      <c r="X32" s="3">
        <f t="shared" si="2"/>
        <v>2861.5</v>
      </c>
      <c r="Z32" s="12">
        <f t="shared" si="3"/>
        <v>0.08</v>
      </c>
      <c r="AA32" s="3">
        <f t="shared" si="7"/>
        <v>2300</v>
      </c>
      <c r="AB32" s="3">
        <f t="shared" si="6"/>
        <v>2714</v>
      </c>
      <c r="AJ32" s="9" t="e">
        <f>(AH32-AD32)/AD32</f>
        <v>#DIV/0!</v>
      </c>
    </row>
    <row r="33" spans="14:36" ht="12.75">
      <c r="N33" s="3">
        <f t="shared" si="9"/>
        <v>0</v>
      </c>
      <c r="S33" s="14"/>
      <c r="T33" s="18"/>
      <c r="U33" s="12"/>
      <c r="Z33" s="12"/>
      <c r="AJ33" s="9" t="e">
        <f t="shared" si="0"/>
        <v>#DIV/0!</v>
      </c>
    </row>
    <row r="34" spans="1:62" s="26" customFormat="1" ht="12.75">
      <c r="A34" s="26" t="s">
        <v>78</v>
      </c>
      <c r="C34" s="93"/>
      <c r="D34" s="93"/>
      <c r="E34" s="93"/>
      <c r="F34" s="94"/>
      <c r="G34" s="101"/>
      <c r="H34" s="103"/>
      <c r="I34" s="101"/>
      <c r="J34" s="102"/>
      <c r="K34" s="6">
        <v>170</v>
      </c>
      <c r="L34" s="6">
        <f>ROUND(K34/100*118,2)</f>
        <v>200.6</v>
      </c>
      <c r="M34" s="6"/>
      <c r="N34" s="3">
        <f t="shared" si="9"/>
        <v>170</v>
      </c>
      <c r="O34" s="3">
        <f t="shared" si="1"/>
        <v>200.6</v>
      </c>
      <c r="P34" s="90"/>
      <c r="Q34" s="15">
        <f>P34*0.18</f>
        <v>0</v>
      </c>
      <c r="R34" s="16">
        <f>Q34+P34</f>
        <v>0</v>
      </c>
      <c r="S34" s="14"/>
      <c r="T34" s="18">
        <f>(R34-L34)/L34</f>
        <v>-1</v>
      </c>
      <c r="U34" s="12"/>
      <c r="V34" s="3"/>
      <c r="W34" s="3"/>
      <c r="X34" s="3"/>
      <c r="Y34" s="3"/>
      <c r="Z34" s="12"/>
      <c r="AA34" s="3"/>
      <c r="AB34" s="3"/>
      <c r="AC34" s="2"/>
      <c r="AD34" s="5"/>
      <c r="AE34" s="5"/>
      <c r="AF34" s="5"/>
      <c r="AG34" s="5"/>
      <c r="AH34" s="5"/>
      <c r="AI34" s="5"/>
      <c r="AJ34" s="9" t="e">
        <f t="shared" si="0"/>
        <v>#DIV/0!</v>
      </c>
      <c r="AK34" s="2"/>
      <c r="AL34" s="5"/>
      <c r="AM34" s="5"/>
      <c r="AN34" s="5"/>
      <c r="AO34" s="2"/>
      <c r="AP34" s="5"/>
      <c r="AQ34" s="5"/>
      <c r="AR34" s="5"/>
      <c r="AS34" s="2"/>
      <c r="AT34" s="5"/>
      <c r="AU34" s="5"/>
      <c r="AV34" s="5"/>
      <c r="AW34" s="2"/>
      <c r="AX34" s="5"/>
      <c r="AZ34" s="2"/>
      <c r="BA34" s="5"/>
      <c r="BC34" s="2"/>
      <c r="BF34" s="21"/>
      <c r="BG34" s="5"/>
      <c r="BI34" s="2"/>
      <c r="BJ34" s="5"/>
    </row>
    <row r="35" spans="1:62" s="26" customFormat="1" ht="12.75">
      <c r="A35" s="26" t="s">
        <v>79</v>
      </c>
      <c r="C35" s="93"/>
      <c r="D35" s="93"/>
      <c r="E35" s="93"/>
      <c r="F35" s="94"/>
      <c r="G35" s="101"/>
      <c r="H35" s="103"/>
      <c r="I35" s="101"/>
      <c r="J35" s="102"/>
      <c r="K35" s="6">
        <v>65</v>
      </c>
      <c r="L35" s="6">
        <f>ROUND(K35/100*118,2)</f>
        <v>76.7</v>
      </c>
      <c r="M35" s="6"/>
      <c r="N35" s="3">
        <f t="shared" si="9"/>
        <v>65</v>
      </c>
      <c r="O35" s="3">
        <f t="shared" si="1"/>
        <v>76.7</v>
      </c>
      <c r="P35" s="90"/>
      <c r="Q35" s="15">
        <f>P35*0.18</f>
        <v>0</v>
      </c>
      <c r="R35" s="16">
        <f>Q35+P35</f>
        <v>0</v>
      </c>
      <c r="S35" s="14"/>
      <c r="T35" s="18">
        <f>(R35-L35)/L35</f>
        <v>-1</v>
      </c>
      <c r="U35" s="12"/>
      <c r="V35" s="3"/>
      <c r="W35" s="3"/>
      <c r="X35" s="3"/>
      <c r="Y35" s="3"/>
      <c r="Z35" s="12"/>
      <c r="AA35" s="3"/>
      <c r="AB35" s="3"/>
      <c r="AC35" s="2"/>
      <c r="AD35" s="5"/>
      <c r="AE35" s="5"/>
      <c r="AF35" s="5"/>
      <c r="AG35" s="5"/>
      <c r="AH35" s="5"/>
      <c r="AI35" s="5"/>
      <c r="AJ35" s="9" t="e">
        <f t="shared" si="0"/>
        <v>#DIV/0!</v>
      </c>
      <c r="AK35" s="2"/>
      <c r="AL35" s="5"/>
      <c r="AM35" s="5"/>
      <c r="AN35" s="5"/>
      <c r="AO35" s="2"/>
      <c r="AP35" s="5"/>
      <c r="AQ35" s="5"/>
      <c r="AR35" s="5"/>
      <c r="AS35" s="2"/>
      <c r="AT35" s="5"/>
      <c r="AU35" s="5"/>
      <c r="AV35" s="5"/>
      <c r="AW35" s="2"/>
      <c r="AX35" s="5"/>
      <c r="AZ35" s="2"/>
      <c r="BA35" s="5"/>
      <c r="BC35" s="2"/>
      <c r="BF35" s="21"/>
      <c r="BG35" s="5"/>
      <c r="BI35" s="2"/>
      <c r="BJ35" s="5"/>
    </row>
    <row r="36" spans="1:62" s="26" customFormat="1" ht="12.75">
      <c r="A36" s="26" t="s">
        <v>80</v>
      </c>
      <c r="C36" s="93"/>
      <c r="D36" s="93"/>
      <c r="E36" s="93"/>
      <c r="F36" s="94"/>
      <c r="G36" s="101"/>
      <c r="H36" s="103"/>
      <c r="I36" s="101"/>
      <c r="J36" s="102"/>
      <c r="K36" s="6">
        <v>160</v>
      </c>
      <c r="L36" s="6">
        <f>ROUND(K36/100*118,2)</f>
        <v>188.8</v>
      </c>
      <c r="M36" s="6"/>
      <c r="N36" s="3">
        <f>O36/1.18</f>
        <v>169.49152542372883</v>
      </c>
      <c r="O36" s="3">
        <v>200</v>
      </c>
      <c r="P36" s="189">
        <f>ROUND(R36/1.18,2)</f>
        <v>169.49</v>
      </c>
      <c r="Q36" s="191">
        <f>R36-P36</f>
        <v>30.50999999999999</v>
      </c>
      <c r="R36" s="192">
        <v>200</v>
      </c>
      <c r="S36" s="14">
        <v>0.0625</v>
      </c>
      <c r="T36" s="18"/>
      <c r="U36" s="12"/>
      <c r="V36" s="3"/>
      <c r="W36" s="3"/>
      <c r="X36" s="3"/>
      <c r="Y36" s="3"/>
      <c r="Z36" s="12"/>
      <c r="AA36" s="3"/>
      <c r="AB36" s="3"/>
      <c r="AC36" s="2"/>
      <c r="AD36" s="5"/>
      <c r="AE36" s="5"/>
      <c r="AF36" s="5"/>
      <c r="AG36" s="5"/>
      <c r="AH36" s="5"/>
      <c r="AI36" s="5"/>
      <c r="AJ36" s="9" t="e">
        <f t="shared" si="0"/>
        <v>#DIV/0!</v>
      </c>
      <c r="AK36" s="2"/>
      <c r="AL36" s="5"/>
      <c r="AM36" s="5"/>
      <c r="AN36" s="5"/>
      <c r="AO36" s="2"/>
      <c r="AP36" s="5"/>
      <c r="AQ36" s="5"/>
      <c r="AR36" s="5"/>
      <c r="AS36" s="2"/>
      <c r="AT36" s="5"/>
      <c r="AU36" s="5"/>
      <c r="AV36" s="5"/>
      <c r="AW36" s="2"/>
      <c r="AX36" s="5"/>
      <c r="AZ36" s="2"/>
      <c r="BA36" s="5"/>
      <c r="BC36" s="2"/>
      <c r="BF36" s="21"/>
      <c r="BG36" s="5"/>
      <c r="BI36" s="2"/>
      <c r="BJ36" s="5"/>
    </row>
    <row r="37" spans="1:62" s="26" customFormat="1" ht="12.75">
      <c r="A37" s="26" t="s">
        <v>106</v>
      </c>
      <c r="C37" s="93"/>
      <c r="D37" s="93"/>
      <c r="E37" s="93"/>
      <c r="F37" s="94"/>
      <c r="G37" s="101"/>
      <c r="H37" s="103"/>
      <c r="I37" s="101"/>
      <c r="J37" s="102"/>
      <c r="K37" s="6"/>
      <c r="L37" s="6"/>
      <c r="M37" s="6"/>
      <c r="N37" s="3"/>
      <c r="O37" s="3"/>
      <c r="P37" s="189">
        <f>R37/1.18</f>
        <v>200</v>
      </c>
      <c r="Q37" s="191">
        <f>R37-P37</f>
        <v>36</v>
      </c>
      <c r="R37" s="192">
        <v>236</v>
      </c>
      <c r="S37" s="14"/>
      <c r="T37" s="18" t="e">
        <f>(R37-L37)/L37</f>
        <v>#DIV/0!</v>
      </c>
      <c r="U37" s="12"/>
      <c r="V37" s="3"/>
      <c r="W37" s="3"/>
      <c r="X37" s="3">
        <f t="shared" si="2"/>
        <v>0</v>
      </c>
      <c r="Y37" s="3"/>
      <c r="Z37" s="12"/>
      <c r="AA37" s="3"/>
      <c r="AB37" s="3"/>
      <c r="AC37" s="2"/>
      <c r="AD37" s="5"/>
      <c r="AE37" s="5"/>
      <c r="AF37" s="5"/>
      <c r="AG37" s="5"/>
      <c r="AH37" s="5"/>
      <c r="AI37" s="5"/>
      <c r="AJ37" s="9"/>
      <c r="AK37" s="2"/>
      <c r="AL37" s="5"/>
      <c r="AM37" s="5"/>
      <c r="AN37" s="5"/>
      <c r="AO37" s="2"/>
      <c r="AP37" s="5"/>
      <c r="AQ37" s="5"/>
      <c r="AR37" s="5"/>
      <c r="AS37" s="2"/>
      <c r="AT37" s="5"/>
      <c r="AU37" s="5"/>
      <c r="AV37" s="5"/>
      <c r="AW37" s="2"/>
      <c r="AX37" s="5"/>
      <c r="AZ37" s="2"/>
      <c r="BA37" s="5"/>
      <c r="BC37" s="2"/>
      <c r="BF37" s="21"/>
      <c r="BG37" s="5"/>
      <c r="BI37" s="2"/>
      <c r="BJ37" s="5"/>
    </row>
    <row r="38" spans="1:62" s="26" customFormat="1" ht="12.75">
      <c r="A38" s="26" t="s">
        <v>107</v>
      </c>
      <c r="C38" s="93"/>
      <c r="D38" s="93"/>
      <c r="E38" s="93"/>
      <c r="F38" s="94"/>
      <c r="G38" s="101"/>
      <c r="H38" s="103"/>
      <c r="I38" s="101"/>
      <c r="J38" s="102"/>
      <c r="K38" s="6"/>
      <c r="L38" s="6"/>
      <c r="M38" s="6"/>
      <c r="N38" s="3"/>
      <c r="O38" s="3"/>
      <c r="P38" s="189">
        <f>R38/1.18</f>
        <v>150</v>
      </c>
      <c r="Q38" s="191">
        <f>R38-P38</f>
        <v>27</v>
      </c>
      <c r="R38" s="192">
        <v>177</v>
      </c>
      <c r="S38" s="14"/>
      <c r="T38" s="18" t="e">
        <f>(R38-L38)/L38</f>
        <v>#DIV/0!</v>
      </c>
      <c r="U38" s="12"/>
      <c r="V38" s="3"/>
      <c r="W38" s="3"/>
      <c r="X38" s="3">
        <f t="shared" si="2"/>
        <v>0</v>
      </c>
      <c r="Y38" s="3"/>
      <c r="Z38" s="12"/>
      <c r="AA38" s="3"/>
      <c r="AB38" s="3"/>
      <c r="AC38" s="2"/>
      <c r="AD38" s="5"/>
      <c r="AE38" s="5"/>
      <c r="AF38" s="5"/>
      <c r="AG38" s="5"/>
      <c r="AH38" s="5"/>
      <c r="AI38" s="5"/>
      <c r="AJ38" s="9"/>
      <c r="AK38" s="2"/>
      <c r="AL38" s="5"/>
      <c r="AM38" s="5"/>
      <c r="AN38" s="5"/>
      <c r="AO38" s="2"/>
      <c r="AP38" s="5"/>
      <c r="AQ38" s="5"/>
      <c r="AR38" s="5"/>
      <c r="AS38" s="2"/>
      <c r="AT38" s="5"/>
      <c r="AU38" s="5"/>
      <c r="AV38" s="5"/>
      <c r="AW38" s="2"/>
      <c r="AX38" s="5"/>
      <c r="AZ38" s="2"/>
      <c r="BA38" s="5"/>
      <c r="BC38" s="2"/>
      <c r="BF38" s="21"/>
      <c r="BG38" s="5"/>
      <c r="BI38" s="2"/>
      <c r="BJ38" s="5"/>
    </row>
    <row r="39" spans="3:62" s="26" customFormat="1" ht="12.75">
      <c r="C39" s="93"/>
      <c r="D39" s="93"/>
      <c r="E39" s="93"/>
      <c r="F39" s="94"/>
      <c r="G39" s="101"/>
      <c r="H39" s="103"/>
      <c r="I39" s="101"/>
      <c r="J39" s="102"/>
      <c r="K39" s="6"/>
      <c r="L39" s="6">
        <f>ROUND(K39/100*118,2)</f>
        <v>0</v>
      </c>
      <c r="M39" s="6"/>
      <c r="N39" s="3">
        <f>K39*(100%+S39)</f>
        <v>0</v>
      </c>
      <c r="O39" s="3">
        <f t="shared" si="1"/>
        <v>0</v>
      </c>
      <c r="P39" s="90"/>
      <c r="Q39" s="15">
        <f>P39*0.18</f>
        <v>0</v>
      </c>
      <c r="R39" s="16">
        <f>Q39+P39</f>
        <v>0</v>
      </c>
      <c r="S39" s="14"/>
      <c r="T39" s="18" t="e">
        <f>(R39-L39)/L39</f>
        <v>#DIV/0!</v>
      </c>
      <c r="U39" s="12"/>
      <c r="V39" s="3"/>
      <c r="W39" s="3"/>
      <c r="X39" s="3">
        <f t="shared" si="2"/>
        <v>0</v>
      </c>
      <c r="Y39" s="3"/>
      <c r="Z39" s="12"/>
      <c r="AA39" s="3"/>
      <c r="AB39" s="3"/>
      <c r="AC39" s="2"/>
      <c r="AD39" s="5"/>
      <c r="AE39" s="5"/>
      <c r="AF39" s="5"/>
      <c r="AG39" s="5"/>
      <c r="AH39" s="5"/>
      <c r="AI39" s="5"/>
      <c r="AJ39" s="9" t="e">
        <f t="shared" si="0"/>
        <v>#DIV/0!</v>
      </c>
      <c r="AK39" s="2"/>
      <c r="AL39" s="5"/>
      <c r="AM39" s="5"/>
      <c r="AN39" s="5"/>
      <c r="AO39" s="2"/>
      <c r="AP39" s="5"/>
      <c r="AQ39" s="5"/>
      <c r="AR39" s="5"/>
      <c r="AS39" s="2"/>
      <c r="AT39" s="5"/>
      <c r="AU39" s="5"/>
      <c r="AV39" s="5"/>
      <c r="AW39" s="2"/>
      <c r="AX39" s="5"/>
      <c r="AZ39" s="2"/>
      <c r="BA39" s="5"/>
      <c r="BC39" s="2"/>
      <c r="BF39" s="21"/>
      <c r="BG39" s="5"/>
      <c r="BI39" s="2"/>
      <c r="BJ39" s="5"/>
    </row>
    <row r="40" spans="3:62" s="26" customFormat="1" ht="13.5" thickBot="1">
      <c r="C40" s="110"/>
      <c r="D40" s="110"/>
      <c r="E40" s="110"/>
      <c r="F40" s="111"/>
      <c r="G40" s="101"/>
      <c r="H40" s="103"/>
      <c r="I40" s="101"/>
      <c r="J40" s="102"/>
      <c r="K40" s="6"/>
      <c r="L40" s="6"/>
      <c r="M40" s="6"/>
      <c r="N40" s="3"/>
      <c r="O40" s="3"/>
      <c r="P40" s="90"/>
      <c r="Q40" s="15"/>
      <c r="R40" s="16"/>
      <c r="S40" s="14"/>
      <c r="T40" s="18"/>
      <c r="U40" s="89" t="s">
        <v>278</v>
      </c>
      <c r="V40" s="89"/>
      <c r="W40" s="89"/>
      <c r="X40" s="89"/>
      <c r="Y40" s="3"/>
      <c r="Z40" s="89" t="s">
        <v>265</v>
      </c>
      <c r="AA40" s="89"/>
      <c r="AB40" s="89"/>
      <c r="AC40" s="2"/>
      <c r="AD40" s="5"/>
      <c r="AE40" s="5"/>
      <c r="AF40" s="5"/>
      <c r="AG40" s="5"/>
      <c r="AH40" s="5"/>
      <c r="AI40" s="5"/>
      <c r="AJ40" s="9"/>
      <c r="AK40" s="2"/>
      <c r="AL40" s="5"/>
      <c r="AM40" s="5"/>
      <c r="AN40" s="5"/>
      <c r="AO40" s="2"/>
      <c r="AP40" s="5"/>
      <c r="AQ40" s="5"/>
      <c r="AR40" s="5"/>
      <c r="AS40" s="2"/>
      <c r="AT40" s="5"/>
      <c r="AU40" s="5"/>
      <c r="AV40" s="5"/>
      <c r="AW40" s="2"/>
      <c r="AX40" s="5"/>
      <c r="AZ40" s="2"/>
      <c r="BA40" s="5"/>
      <c r="BC40" s="2"/>
      <c r="BF40" s="21"/>
      <c r="BG40" s="5"/>
      <c r="BI40" s="2"/>
      <c r="BJ40" s="5"/>
    </row>
    <row r="41" spans="1:62" s="128" customFormat="1" ht="25.5">
      <c r="A41" s="114" t="s">
        <v>81</v>
      </c>
      <c r="B41" s="115" t="s">
        <v>264</v>
      </c>
      <c r="C41" s="116"/>
      <c r="D41" s="116"/>
      <c r="E41" s="116"/>
      <c r="F41" s="117"/>
      <c r="G41" s="95"/>
      <c r="H41" s="96"/>
      <c r="I41" s="95"/>
      <c r="J41" s="118"/>
      <c r="K41" s="119">
        <v>4200</v>
      </c>
      <c r="L41" s="119">
        <f>K41/100*118</f>
        <v>4956</v>
      </c>
      <c r="M41" s="119"/>
      <c r="N41" s="120">
        <f>K41*(100%+S41)</f>
        <v>4494</v>
      </c>
      <c r="O41" s="120">
        <f t="shared" si="1"/>
        <v>5302.92</v>
      </c>
      <c r="P41" s="195">
        <v>4500</v>
      </c>
      <c r="Q41" s="196">
        <f>R41-P41</f>
        <v>810</v>
      </c>
      <c r="R41" s="208">
        <f>P41*1.18</f>
        <v>5310</v>
      </c>
      <c r="S41" s="121">
        <v>0.07</v>
      </c>
      <c r="T41" s="122">
        <f>(O41-L41)/L41</f>
        <v>0.07000000000000002</v>
      </c>
      <c r="U41" s="123">
        <v>0.05</v>
      </c>
      <c r="V41" s="120">
        <f>P41-P41*U41</f>
        <v>4275</v>
      </c>
      <c r="W41" s="139">
        <f>ROUND(V41,)</f>
        <v>4275</v>
      </c>
      <c r="X41" s="120">
        <f t="shared" si="2"/>
        <v>5044.5</v>
      </c>
      <c r="Y41" s="120"/>
      <c r="Z41" s="124">
        <f t="shared" si="3"/>
        <v>0.08</v>
      </c>
      <c r="AA41" s="120">
        <f>ROUND(P41-P41*Z41,)</f>
        <v>4140</v>
      </c>
      <c r="AB41" s="139">
        <f>AA41*1.18</f>
        <v>4885.2</v>
      </c>
      <c r="AC41" s="125"/>
      <c r="AD41" s="115">
        <v>2460</v>
      </c>
      <c r="AE41" s="115">
        <f>AF41/1.18</f>
        <v>3054.51313755796</v>
      </c>
      <c r="AF41" s="115">
        <f>466399.72/129.4</f>
        <v>3604.3255023183924</v>
      </c>
      <c r="AG41" s="115">
        <f>AE41-AD41</f>
        <v>594.5131375579599</v>
      </c>
      <c r="AH41" s="115">
        <v>2760</v>
      </c>
      <c r="AI41" s="115">
        <f>AH41+AG41/100*115</f>
        <v>3443.690108191654</v>
      </c>
      <c r="AJ41" s="126">
        <f>(AH41-AD41)/AD41</f>
        <v>0.12195121951219512</v>
      </c>
      <c r="AK41" s="125"/>
      <c r="AL41" s="115">
        <v>2540</v>
      </c>
      <c r="AM41" s="115">
        <v>2795</v>
      </c>
      <c r="AN41" s="127">
        <f>(AM41-AL41)/AL41</f>
        <v>0.10039370078740158</v>
      </c>
      <c r="AO41" s="125"/>
      <c r="AP41" s="115">
        <v>2700</v>
      </c>
      <c r="AQ41" s="115"/>
      <c r="AR41" s="127">
        <f>(AQ41-AP41)/AP41</f>
        <v>-1</v>
      </c>
      <c r="AS41" s="125"/>
      <c r="AT41" s="115">
        <f>5100/1.18</f>
        <v>4322.033898305085</v>
      </c>
      <c r="AU41" s="115"/>
      <c r="AV41" s="127">
        <f>(AU41-AT41)/AT41</f>
        <v>-1</v>
      </c>
      <c r="AW41" s="125"/>
      <c r="AX41" s="115"/>
      <c r="AZ41" s="125"/>
      <c r="BA41" s="115"/>
      <c r="BC41" s="125"/>
      <c r="BF41" s="129"/>
      <c r="BG41" s="115"/>
      <c r="BI41" s="125"/>
      <c r="BJ41" s="115"/>
    </row>
    <row r="42" spans="1:63" s="144" customFormat="1" ht="12.75">
      <c r="A42" s="130" t="s">
        <v>81</v>
      </c>
      <c r="B42" s="131" t="s">
        <v>267</v>
      </c>
      <c r="C42" s="93">
        <f>468081.22/126</f>
        <v>3714.9303174603174</v>
      </c>
      <c r="D42" s="93">
        <f>(466399.72-57348+57348*1.15-(375622.32+17924.2+8094.865844)+(375622.32+17924.2+8094.865844)*1.121951)/129.4</f>
        <v>4049.32371441315</v>
      </c>
      <c r="E42" s="105">
        <f>(O42-$C42)/$C42</f>
        <v>0.46762546893037066</v>
      </c>
      <c r="F42" s="106">
        <f>(O42-$D42)/$D42</f>
        <v>0.34642886904795184</v>
      </c>
      <c r="G42" s="107">
        <f>(X42-$C42)/$C42</f>
        <v>0.3979212411042681</v>
      </c>
      <c r="H42" s="108">
        <f>(X42-$D42)/$D42</f>
        <v>0.2824808205665087</v>
      </c>
      <c r="I42" s="107">
        <f>(AB42-$C42)/$C42</f>
        <v>0.36885426251452685</v>
      </c>
      <c r="J42" s="109">
        <f>(AB42-$D42)/$D42</f>
        <v>0.2558141948246226</v>
      </c>
      <c r="K42" s="148">
        <f>K41+P$36/(63/47)</f>
        <v>4326.444920634921</v>
      </c>
      <c r="L42" s="148">
        <f>L41+R$36/(63/47)</f>
        <v>5105.206349206349</v>
      </c>
      <c r="M42" s="148"/>
      <c r="N42" s="147">
        <f>N41+P$36/(63/47)</f>
        <v>4620.444920634921</v>
      </c>
      <c r="O42" s="147">
        <f>O41+R$36/(63/47)</f>
        <v>5452.126349206349</v>
      </c>
      <c r="P42" s="189">
        <f>ROUND(R42/1.18,2)</f>
        <v>4620.45</v>
      </c>
      <c r="Q42" s="191">
        <f>R42-P42</f>
        <v>831.6763492063492</v>
      </c>
      <c r="R42" s="209">
        <f>O42</f>
        <v>5452.126349206349</v>
      </c>
      <c r="S42" s="137"/>
      <c r="T42" s="138">
        <f aca="true" t="shared" si="10" ref="T42:T64">(O42-L42)/L42</f>
        <v>0.06795415822005549</v>
      </c>
      <c r="U42" s="215">
        <f>U$41</f>
        <v>0.05</v>
      </c>
      <c r="V42" s="3">
        <f>V41+$P$36/1.35</f>
        <v>4400.548148148148</v>
      </c>
      <c r="W42" s="139">
        <f>ROUND(V42,)</f>
        <v>4401</v>
      </c>
      <c r="X42" s="139">
        <f t="shared" si="2"/>
        <v>5193.179999999999</v>
      </c>
      <c r="Y42" s="139"/>
      <c r="Z42" s="140">
        <f t="shared" si="3"/>
        <v>0.08</v>
      </c>
      <c r="AA42" s="3">
        <f>AA41+$P$36</f>
        <v>4309.49</v>
      </c>
      <c r="AB42" s="139">
        <f>AA42*1.18</f>
        <v>5085.1982</v>
      </c>
      <c r="AC42" s="141"/>
      <c r="AD42" s="131"/>
      <c r="AE42" s="131"/>
      <c r="AF42" s="131"/>
      <c r="AG42" s="131"/>
      <c r="AH42" s="131"/>
      <c r="AI42" s="131"/>
      <c r="AJ42" s="142"/>
      <c r="AK42" s="141"/>
      <c r="AL42" s="131"/>
      <c r="AM42" s="131"/>
      <c r="AN42" s="143"/>
      <c r="AO42" s="141"/>
      <c r="AP42" s="131"/>
      <c r="AQ42" s="131"/>
      <c r="AR42" s="143"/>
      <c r="AS42" s="141"/>
      <c r="AT42" s="131"/>
      <c r="AU42" s="131"/>
      <c r="AV42" s="143"/>
      <c r="AW42" s="141"/>
      <c r="AX42" s="131"/>
      <c r="AZ42" s="141"/>
      <c r="BA42" s="131"/>
      <c r="BC42" s="141"/>
      <c r="BF42" s="145"/>
      <c r="BG42" s="131">
        <f>25200/(4*1.17)</f>
        <v>5384.615384615385</v>
      </c>
      <c r="BH42" s="144" t="s">
        <v>137</v>
      </c>
      <c r="BI42" s="141"/>
      <c r="BJ42" s="131"/>
      <c r="BK42" s="144">
        <v>5900</v>
      </c>
    </row>
    <row r="43" spans="1:62" s="144" customFormat="1" ht="25.5">
      <c r="A43" s="146" t="s">
        <v>81</v>
      </c>
      <c r="B43" s="131" t="s">
        <v>268</v>
      </c>
      <c r="C43" s="93"/>
      <c r="D43" s="93"/>
      <c r="E43" s="93"/>
      <c r="F43" s="94"/>
      <c r="G43" s="101"/>
      <c r="H43" s="103"/>
      <c r="I43" s="101"/>
      <c r="J43" s="102"/>
      <c r="K43" s="185">
        <f>K41*(63/47)/385</f>
        <v>14.622823984526114</v>
      </c>
      <c r="L43" s="188">
        <f>K43/100*118</f>
        <v>17.254932301740816</v>
      </c>
      <c r="M43" s="185"/>
      <c r="N43" s="185">
        <f>N41*(63/47)/385</f>
        <v>15.646421663442942</v>
      </c>
      <c r="O43" s="147">
        <f>N43/100*118</f>
        <v>18.46277756286267</v>
      </c>
      <c r="P43" s="207">
        <f>N43</f>
        <v>15.646421663442942</v>
      </c>
      <c r="Q43" s="207">
        <f>P43*0.18</f>
        <v>2.8163558994197295</v>
      </c>
      <c r="R43" s="210">
        <f>P43+Q43</f>
        <v>18.46277756286267</v>
      </c>
      <c r="S43" s="137">
        <f>S41</f>
        <v>0.07</v>
      </c>
      <c r="T43" s="138">
        <f t="shared" si="10"/>
        <v>0.06999999999999981</v>
      </c>
      <c r="U43" s="215">
        <f>U$41</f>
        <v>0.05</v>
      </c>
      <c r="V43" s="133">
        <f>P43-P43*U43</f>
        <v>14.864100580270794</v>
      </c>
      <c r="W43" s="132">
        <f>V43</f>
        <v>14.864100580270794</v>
      </c>
      <c r="X43" s="214">
        <f t="shared" si="2"/>
        <v>17.539638684719534</v>
      </c>
      <c r="Y43" s="139"/>
      <c r="Z43" s="215">
        <f t="shared" si="3"/>
        <v>0.08</v>
      </c>
      <c r="AA43" s="132">
        <f>P43-P43*Z43</f>
        <v>14.394707930367506</v>
      </c>
      <c r="AB43" s="214">
        <f>AA43*1.18</f>
        <v>16.985755357833657</v>
      </c>
      <c r="AC43" s="141"/>
      <c r="AD43" s="131"/>
      <c r="AE43" s="131"/>
      <c r="AF43" s="131"/>
      <c r="AG43" s="131"/>
      <c r="AH43" s="131"/>
      <c r="AI43" s="131"/>
      <c r="AJ43" s="142" t="e">
        <f aca="true" t="shared" si="11" ref="AJ43:AJ65">(AH43-AD43)/AD43</f>
        <v>#DIV/0!</v>
      </c>
      <c r="AK43" s="141"/>
      <c r="AL43" s="131"/>
      <c r="AM43" s="131"/>
      <c r="AN43" s="131"/>
      <c r="AO43" s="141"/>
      <c r="AP43" s="131"/>
      <c r="AQ43" s="131"/>
      <c r="AR43" s="131"/>
      <c r="AS43" s="141"/>
      <c r="AT43" s="131"/>
      <c r="AU43" s="131"/>
      <c r="AV43" s="131"/>
      <c r="AW43" s="141"/>
      <c r="AX43" s="131"/>
      <c r="AZ43" s="141"/>
      <c r="BA43" s="131"/>
      <c r="BC43" s="141"/>
      <c r="BF43" s="145"/>
      <c r="BG43" s="131"/>
      <c r="BI43" s="141"/>
      <c r="BJ43" s="131"/>
    </row>
    <row r="44" spans="1:62" s="144" customFormat="1" ht="25.5">
      <c r="A44" s="146" t="s">
        <v>81</v>
      </c>
      <c r="B44" s="131" t="s">
        <v>271</v>
      </c>
      <c r="C44" s="93">
        <f>C42*63/47/385</f>
        <v>12.933993368333793</v>
      </c>
      <c r="D44" s="93">
        <f>D42*63/47/385</f>
        <v>14.098225698150232</v>
      </c>
      <c r="E44" s="105">
        <f>(O44-C44)/C44</f>
        <v>0.4676254689303709</v>
      </c>
      <c r="F44" s="106">
        <f>(O44-D44)/D44</f>
        <v>0.34642886904795195</v>
      </c>
      <c r="G44" s="107">
        <f>(X44-$C44)/$C44</f>
        <v>0.397777716155044</v>
      </c>
      <c r="H44" s="108">
        <f>(X44-$D44)/$D44</f>
        <v>0.2823491479162617</v>
      </c>
      <c r="I44" s="107">
        <f>(AB44-$C44)/$C44</f>
        <v>0.3688542625145268</v>
      </c>
      <c r="J44" s="109">
        <f>(AB44-$D44)/$D44</f>
        <v>0.2558141948246225</v>
      </c>
      <c r="K44" s="148">
        <f>K43+K$36/385</f>
        <v>15.03840840011053</v>
      </c>
      <c r="L44" s="148">
        <f>L43+L$36/385</f>
        <v>17.745321912130425</v>
      </c>
      <c r="M44" s="148"/>
      <c r="N44" s="147">
        <f>N43+P$36/385</f>
        <v>16.086655429676707</v>
      </c>
      <c r="O44" s="213">
        <f>O43+R$36/385</f>
        <v>18.98225808234319</v>
      </c>
      <c r="P44" s="207">
        <f>N44</f>
        <v>16.086655429676707</v>
      </c>
      <c r="Q44" s="191">
        <f>P44/100*18</f>
        <v>2.8955979773418075</v>
      </c>
      <c r="R44" s="212">
        <f>Q44+P44</f>
        <v>18.982253407018515</v>
      </c>
      <c r="S44" s="137"/>
      <c r="T44" s="138">
        <f t="shared" si="10"/>
        <v>0.06970491582726457</v>
      </c>
      <c r="U44" s="215">
        <f>U$41</f>
        <v>0.05</v>
      </c>
      <c r="V44" s="151">
        <f>V42*(63/47)/385</f>
        <v>15.32105738233398</v>
      </c>
      <c r="W44" s="152">
        <f>V44</f>
        <v>15.32105738233398</v>
      </c>
      <c r="X44" s="135">
        <f t="shared" si="2"/>
        <v>18.078847711154094</v>
      </c>
      <c r="Y44" s="139"/>
      <c r="Z44" s="140">
        <f t="shared" si="3"/>
        <v>0.08</v>
      </c>
      <c r="AA44" s="153">
        <f>AA42*(63/47)/385</f>
        <v>15.004027079303675</v>
      </c>
      <c r="AB44" s="154">
        <f>AA44*1.18</f>
        <v>17.704751953578334</v>
      </c>
      <c r="AC44" s="141"/>
      <c r="AD44" s="131"/>
      <c r="AE44" s="131"/>
      <c r="AF44" s="131"/>
      <c r="AG44" s="131"/>
      <c r="AH44" s="131"/>
      <c r="AI44" s="131"/>
      <c r="AJ44" s="142"/>
      <c r="AK44" s="141"/>
      <c r="AL44" s="131"/>
      <c r="AM44" s="131"/>
      <c r="AN44" s="131"/>
      <c r="AO44" s="141"/>
      <c r="AP44" s="131"/>
      <c r="AQ44" s="131"/>
      <c r="AR44" s="131"/>
      <c r="AS44" s="141"/>
      <c r="AT44" s="131"/>
      <c r="AU44" s="131"/>
      <c r="AV44" s="131"/>
      <c r="AW44" s="141"/>
      <c r="AX44" s="131"/>
      <c r="AZ44" s="141"/>
      <c r="BA44" s="131"/>
      <c r="BC44" s="141"/>
      <c r="BD44" s="144">
        <v>17.5</v>
      </c>
      <c r="BE44" s="100" t="s">
        <v>135</v>
      </c>
      <c r="BF44" s="145"/>
      <c r="BG44" s="131">
        <v>18</v>
      </c>
      <c r="BH44" s="144" t="s">
        <v>136</v>
      </c>
      <c r="BI44" s="141"/>
      <c r="BJ44" s="131"/>
    </row>
    <row r="45" spans="1:62" s="144" customFormat="1" ht="25.5">
      <c r="A45" s="146" t="s">
        <v>81</v>
      </c>
      <c r="B45" s="131" t="s">
        <v>269</v>
      </c>
      <c r="C45" s="93"/>
      <c r="D45" s="93"/>
      <c r="E45" s="93"/>
      <c r="F45" s="94"/>
      <c r="G45" s="101"/>
      <c r="H45" s="103"/>
      <c r="I45" s="101"/>
      <c r="J45" s="102"/>
      <c r="K45" s="148">
        <f>K41*63/47</f>
        <v>5629.787234042553</v>
      </c>
      <c r="L45" s="148">
        <f>L41*63/47</f>
        <v>6643.148936170212</v>
      </c>
      <c r="M45" s="148"/>
      <c r="N45" s="148">
        <f>N41*63/47</f>
        <v>6023.872340425532</v>
      </c>
      <c r="O45" s="148">
        <f>O41*63/47</f>
        <v>7108.169361702128</v>
      </c>
      <c r="P45" s="189"/>
      <c r="Q45" s="191">
        <f>P45*0.18</f>
        <v>0</v>
      </c>
      <c r="R45" s="209">
        <f>Q45+P45</f>
        <v>0</v>
      </c>
      <c r="S45" s="137">
        <f>S43</f>
        <v>0.07</v>
      </c>
      <c r="T45" s="138">
        <f t="shared" si="10"/>
        <v>0.07000000000000015</v>
      </c>
      <c r="U45" s="215">
        <f>U$41</f>
        <v>0.05</v>
      </c>
      <c r="V45" s="149">
        <f>ROUND(P45-P45*U45,)</f>
        <v>0</v>
      </c>
      <c r="W45" s="139"/>
      <c r="X45" s="139">
        <f t="shared" si="2"/>
        <v>0</v>
      </c>
      <c r="Y45" s="139"/>
      <c r="Z45" s="140">
        <f t="shared" si="3"/>
        <v>0.08</v>
      </c>
      <c r="AA45" s="139"/>
      <c r="AB45" s="139"/>
      <c r="AC45" s="141"/>
      <c r="AD45" s="131"/>
      <c r="AE45" s="131"/>
      <c r="AF45" s="131"/>
      <c r="AG45" s="131"/>
      <c r="AH45" s="131"/>
      <c r="AI45" s="131"/>
      <c r="AJ45" s="142" t="e">
        <f t="shared" si="11"/>
        <v>#DIV/0!</v>
      </c>
      <c r="AK45" s="141"/>
      <c r="AL45" s="131"/>
      <c r="AM45" s="131"/>
      <c r="AN45" s="131"/>
      <c r="AO45" s="141"/>
      <c r="AP45" s="131"/>
      <c r="AQ45" s="131"/>
      <c r="AR45" s="131"/>
      <c r="AS45" s="141"/>
      <c r="AT45" s="131"/>
      <c r="AU45" s="131"/>
      <c r="AV45" s="131"/>
      <c r="AW45" s="141"/>
      <c r="AX45" s="131"/>
      <c r="AZ45" s="141"/>
      <c r="BA45" s="131"/>
      <c r="BC45" s="141"/>
      <c r="BF45" s="145"/>
      <c r="BG45" s="131"/>
      <c r="BI45" s="141"/>
      <c r="BJ45" s="131"/>
    </row>
    <row r="46" spans="1:62" s="172" customFormat="1" ht="26.25" thickBot="1">
      <c r="A46" s="155" t="s">
        <v>81</v>
      </c>
      <c r="B46" s="156" t="s">
        <v>270</v>
      </c>
      <c r="C46" s="157"/>
      <c r="D46" s="157"/>
      <c r="E46" s="157"/>
      <c r="F46" s="158"/>
      <c r="G46" s="159"/>
      <c r="H46" s="160"/>
      <c r="I46" s="159"/>
      <c r="J46" s="161"/>
      <c r="K46" s="184">
        <f>K45+K36</f>
        <v>5789.787234042553</v>
      </c>
      <c r="L46" s="184">
        <f>L45+L36</f>
        <v>6831.948936170213</v>
      </c>
      <c r="M46" s="184"/>
      <c r="N46" s="184">
        <f>N45+P36</f>
        <v>6193.362340425531</v>
      </c>
      <c r="O46" s="184">
        <f>O45+R36</f>
        <v>7308.169361702128</v>
      </c>
      <c r="P46" s="198"/>
      <c r="Q46" s="199"/>
      <c r="R46" s="211"/>
      <c r="S46" s="165"/>
      <c r="T46" s="166">
        <f t="shared" si="10"/>
        <v>0.06970491582726476</v>
      </c>
      <c r="U46" s="216">
        <f>U$41</f>
        <v>0.05</v>
      </c>
      <c r="V46" s="167">
        <f>ROUND(P46-P46*U46,)</f>
        <v>0</v>
      </c>
      <c r="W46" s="168"/>
      <c r="X46" s="168">
        <f t="shared" si="2"/>
        <v>0</v>
      </c>
      <c r="Y46" s="168"/>
      <c r="Z46" s="169">
        <f t="shared" si="3"/>
        <v>0.08</v>
      </c>
      <c r="AA46" s="168"/>
      <c r="AB46" s="168"/>
      <c r="AC46" s="170"/>
      <c r="AD46" s="156"/>
      <c r="AE46" s="156"/>
      <c r="AF46" s="156"/>
      <c r="AG46" s="156"/>
      <c r="AH46" s="156"/>
      <c r="AI46" s="156"/>
      <c r="AJ46" s="171"/>
      <c r="AK46" s="170"/>
      <c r="AL46" s="156"/>
      <c r="AM46" s="156"/>
      <c r="AN46" s="156"/>
      <c r="AO46" s="170"/>
      <c r="AP46" s="156"/>
      <c r="AQ46" s="156"/>
      <c r="AR46" s="156"/>
      <c r="AS46" s="170"/>
      <c r="AT46" s="156"/>
      <c r="AU46" s="156"/>
      <c r="AV46" s="156"/>
      <c r="AW46" s="170"/>
      <c r="AX46" s="156"/>
      <c r="AZ46" s="170"/>
      <c r="BA46" s="156"/>
      <c r="BC46" s="170"/>
      <c r="BF46" s="173"/>
      <c r="BG46" s="156"/>
      <c r="BI46" s="170"/>
      <c r="BJ46" s="156"/>
    </row>
    <row r="47" spans="3:62" s="26" customFormat="1" ht="13.5" thickBot="1">
      <c r="C47" s="174"/>
      <c r="D47" s="174"/>
      <c r="E47" s="174"/>
      <c r="F47" s="175"/>
      <c r="G47" s="101"/>
      <c r="H47" s="103"/>
      <c r="I47" s="101"/>
      <c r="J47" s="102"/>
      <c r="K47" s="6"/>
      <c r="L47" s="6"/>
      <c r="M47" s="6"/>
      <c r="N47" s="3"/>
      <c r="O47" s="3"/>
      <c r="P47" s="90"/>
      <c r="Q47" s="15"/>
      <c r="R47" s="16"/>
      <c r="S47" s="14"/>
      <c r="T47" s="18"/>
      <c r="U47" s="12"/>
      <c r="V47" s="88"/>
      <c r="W47" s="3"/>
      <c r="X47" s="3"/>
      <c r="Y47" s="3"/>
      <c r="Z47" s="12"/>
      <c r="AA47" s="3"/>
      <c r="AB47" s="3"/>
      <c r="AC47" s="2"/>
      <c r="AD47" s="5"/>
      <c r="AE47" s="5"/>
      <c r="AF47" s="5"/>
      <c r="AG47" s="5"/>
      <c r="AH47" s="5"/>
      <c r="AI47" s="5"/>
      <c r="AJ47" s="9"/>
      <c r="AK47" s="2"/>
      <c r="AL47" s="5"/>
      <c r="AM47" s="5"/>
      <c r="AN47" s="5"/>
      <c r="AO47" s="2"/>
      <c r="AP47" s="5"/>
      <c r="AQ47" s="5"/>
      <c r="AR47" s="5"/>
      <c r="AS47" s="2"/>
      <c r="AT47" s="5"/>
      <c r="AU47" s="5"/>
      <c r="AV47" s="5"/>
      <c r="AW47" s="2"/>
      <c r="AX47" s="5"/>
      <c r="AZ47" s="2"/>
      <c r="BA47" s="5"/>
      <c r="BC47" s="2"/>
      <c r="BF47" s="21"/>
      <c r="BG47" s="5"/>
      <c r="BI47" s="2"/>
      <c r="BJ47" s="5"/>
    </row>
    <row r="48" spans="1:62" s="128" customFormat="1" ht="38.25">
      <c r="A48" s="176" t="s">
        <v>84</v>
      </c>
      <c r="B48" s="115" t="s">
        <v>277</v>
      </c>
      <c r="C48" s="116"/>
      <c r="D48" s="116"/>
      <c r="E48" s="116"/>
      <c r="F48" s="117"/>
      <c r="G48" s="95"/>
      <c r="H48" s="96"/>
      <c r="I48" s="95"/>
      <c r="J48" s="118"/>
      <c r="K48" s="119">
        <v>5350</v>
      </c>
      <c r="L48" s="119">
        <f>ROUND(K48/100*118,2)</f>
        <v>6313</v>
      </c>
      <c r="M48" s="119"/>
      <c r="N48" s="120">
        <f>K48*(100%+S48)</f>
        <v>5724.5</v>
      </c>
      <c r="O48" s="120">
        <f t="shared" si="1"/>
        <v>6754.91</v>
      </c>
      <c r="P48" s="195">
        <v>5750</v>
      </c>
      <c r="Q48" s="196">
        <f>P48*0.18</f>
        <v>1035</v>
      </c>
      <c r="R48" s="197">
        <f>Q48+P48</f>
        <v>6785</v>
      </c>
      <c r="S48" s="121">
        <v>0.07</v>
      </c>
      <c r="T48" s="122">
        <f t="shared" si="10"/>
        <v>0.06999999999999998</v>
      </c>
      <c r="U48" s="124">
        <v>0.05</v>
      </c>
      <c r="V48" s="177">
        <f>P48-P48*U48</f>
        <v>5462.5</v>
      </c>
      <c r="W48" s="139">
        <f>ROUND(V48,)</f>
        <v>5463</v>
      </c>
      <c r="X48" s="120">
        <f t="shared" si="2"/>
        <v>6446.339999999999</v>
      </c>
      <c r="Y48" s="120"/>
      <c r="Z48" s="124">
        <v>0.08</v>
      </c>
      <c r="AA48" s="120">
        <f>P48-P48*Z48</f>
        <v>5290</v>
      </c>
      <c r="AB48" s="120">
        <f>AA48*1.18</f>
        <v>6242.2</v>
      </c>
      <c r="AC48" s="125"/>
      <c r="AD48" s="115">
        <v>3310</v>
      </c>
      <c r="AE48" s="115"/>
      <c r="AF48" s="115"/>
      <c r="AG48" s="115"/>
      <c r="AH48" s="115">
        <v>3710</v>
      </c>
      <c r="AI48" s="115"/>
      <c r="AJ48" s="126">
        <f t="shared" si="11"/>
        <v>0.12084592145015106</v>
      </c>
      <c r="AK48" s="125"/>
      <c r="AL48" s="115">
        <v>3280</v>
      </c>
      <c r="AM48" s="115">
        <v>3610</v>
      </c>
      <c r="AN48" s="127">
        <f>(AM48-AL48)/AL48</f>
        <v>0.10060975609756098</v>
      </c>
      <c r="AO48" s="125"/>
      <c r="AP48" s="115">
        <v>3560</v>
      </c>
      <c r="AQ48" s="115"/>
      <c r="AR48" s="127">
        <f>(AQ48-AP48)/AP48</f>
        <v>-1</v>
      </c>
      <c r="AS48" s="125"/>
      <c r="AT48" s="115">
        <f>6160/1.18</f>
        <v>5220.338983050848</v>
      </c>
      <c r="AU48" s="115"/>
      <c r="AV48" s="127">
        <f>(AU48-AT48)/AT48</f>
        <v>-1</v>
      </c>
      <c r="AW48" s="125"/>
      <c r="AX48" s="115"/>
      <c r="AZ48" s="125"/>
      <c r="BA48" s="115"/>
      <c r="BC48" s="125"/>
      <c r="BF48" s="129"/>
      <c r="BG48" s="115"/>
      <c r="BI48" s="125"/>
      <c r="BJ48" s="115"/>
    </row>
    <row r="49" spans="1:62" s="144" customFormat="1" ht="12.75">
      <c r="A49" s="146" t="s">
        <v>84</v>
      </c>
      <c r="B49" s="131" t="s">
        <v>267</v>
      </c>
      <c r="C49" s="93"/>
      <c r="D49" s="93"/>
      <c r="E49" s="93"/>
      <c r="F49" s="94"/>
      <c r="G49" s="101"/>
      <c r="H49" s="103"/>
      <c r="I49" s="101"/>
      <c r="J49" s="102"/>
      <c r="K49" s="132">
        <f>K48+K$36/1.25</f>
        <v>5478</v>
      </c>
      <c r="L49" s="132">
        <f>L48+L$36/1.25</f>
        <v>6464.04</v>
      </c>
      <c r="M49" s="132"/>
      <c r="N49" s="133">
        <f>N48+P$36/1.25</f>
        <v>5860.092</v>
      </c>
      <c r="O49" s="133">
        <f>O48+R$36/1.25</f>
        <v>6914.91</v>
      </c>
      <c r="P49" s="189">
        <f>ROUND(R49/1.18,2)</f>
        <v>5860.17</v>
      </c>
      <c r="Q49" s="191">
        <f>R49-P49</f>
        <v>1054.83</v>
      </c>
      <c r="R49" s="192">
        <v>6915</v>
      </c>
      <c r="S49" s="137"/>
      <c r="T49" s="138">
        <f>(O49-L49)/L49</f>
        <v>0.06975049659346166</v>
      </c>
      <c r="U49" s="215">
        <f>U$48</f>
        <v>0.05</v>
      </c>
      <c r="V49" s="3">
        <f>V48+$P$36/1.25</f>
        <v>5598.092</v>
      </c>
      <c r="W49" s="139">
        <f>ROUND(V49,)</f>
        <v>5598</v>
      </c>
      <c r="X49" s="139">
        <f t="shared" si="2"/>
        <v>6605.639999999999</v>
      </c>
      <c r="Y49" s="139"/>
      <c r="Z49" s="140">
        <f t="shared" si="3"/>
        <v>0.08</v>
      </c>
      <c r="AA49" s="3">
        <f>AA48+$P$36</f>
        <v>5459.49</v>
      </c>
      <c r="AB49" s="139">
        <f>AA49*1.18</f>
        <v>6442.1982</v>
      </c>
      <c r="AC49" s="141"/>
      <c r="AD49" s="131"/>
      <c r="AE49" s="131"/>
      <c r="AF49" s="131"/>
      <c r="AG49" s="131"/>
      <c r="AH49" s="131"/>
      <c r="AI49" s="131"/>
      <c r="AJ49" s="142"/>
      <c r="AK49" s="141"/>
      <c r="AL49" s="131"/>
      <c r="AM49" s="131"/>
      <c r="AN49" s="143"/>
      <c r="AO49" s="141"/>
      <c r="AP49" s="131"/>
      <c r="AQ49" s="131"/>
      <c r="AR49" s="143"/>
      <c r="AS49" s="141"/>
      <c r="AT49" s="131"/>
      <c r="AU49" s="131"/>
      <c r="AV49" s="143"/>
      <c r="AW49" s="141"/>
      <c r="AX49" s="131"/>
      <c r="AZ49" s="141"/>
      <c r="BA49" s="131"/>
      <c r="BC49" s="141"/>
      <c r="BF49" s="145"/>
      <c r="BG49" s="131"/>
      <c r="BI49" s="141"/>
      <c r="BJ49" s="131"/>
    </row>
    <row r="50" spans="1:62" s="144" customFormat="1" ht="25.5">
      <c r="A50" s="146" t="s">
        <v>84</v>
      </c>
      <c r="B50" s="131" t="s">
        <v>268</v>
      </c>
      <c r="C50" s="93"/>
      <c r="D50" s="93"/>
      <c r="E50" s="93"/>
      <c r="F50" s="94"/>
      <c r="G50" s="101"/>
      <c r="H50" s="103"/>
      <c r="I50" s="101"/>
      <c r="J50" s="102"/>
      <c r="K50" s="185">
        <f>K48*1.25/420</f>
        <v>15.922619047619047</v>
      </c>
      <c r="L50" s="185">
        <f>ROUND(K50/100*118,2)</f>
        <v>18.79</v>
      </c>
      <c r="M50" s="185"/>
      <c r="N50" s="185">
        <f>K50*(100%+S50)</f>
        <v>17.037202380952383</v>
      </c>
      <c r="O50" s="139">
        <f t="shared" si="1"/>
        <v>20.103898809523812</v>
      </c>
      <c r="P50" s="189">
        <f>N50</f>
        <v>17.037202380952383</v>
      </c>
      <c r="Q50" s="191">
        <f>P50*0.18</f>
        <v>3.066696428571429</v>
      </c>
      <c r="R50" s="192">
        <f>Q50+P50</f>
        <v>20.103898809523812</v>
      </c>
      <c r="S50" s="137">
        <f>S48</f>
        <v>0.07</v>
      </c>
      <c r="T50" s="138">
        <f t="shared" si="10"/>
        <v>0.06992542892622743</v>
      </c>
      <c r="U50" s="143">
        <v>0.05</v>
      </c>
      <c r="V50" s="149">
        <f>P50-P50*U50</f>
        <v>16.185342261904765</v>
      </c>
      <c r="W50" s="139">
        <f>V50</f>
        <v>16.185342261904765</v>
      </c>
      <c r="X50" s="135">
        <f t="shared" si="2"/>
        <v>19.098703869047622</v>
      </c>
      <c r="Y50" s="139"/>
      <c r="Z50" s="140">
        <f t="shared" si="3"/>
        <v>0.08</v>
      </c>
      <c r="AA50" s="139">
        <f>P50-P50*Z50</f>
        <v>15.674226190476192</v>
      </c>
      <c r="AB50" s="135">
        <f>AA50*1.18</f>
        <v>18.495586904761907</v>
      </c>
      <c r="AC50" s="141"/>
      <c r="AD50" s="131"/>
      <c r="AE50" s="131"/>
      <c r="AF50" s="131"/>
      <c r="AG50" s="131"/>
      <c r="AH50" s="131"/>
      <c r="AI50" s="131"/>
      <c r="AJ50" s="142" t="e">
        <f t="shared" si="11"/>
        <v>#DIV/0!</v>
      </c>
      <c r="AK50" s="141"/>
      <c r="AL50" s="131"/>
      <c r="AM50" s="131"/>
      <c r="AN50" s="131"/>
      <c r="AO50" s="141"/>
      <c r="AP50" s="131"/>
      <c r="AQ50" s="131"/>
      <c r="AR50" s="131"/>
      <c r="AS50" s="141"/>
      <c r="AT50" s="131"/>
      <c r="AU50" s="131"/>
      <c r="AV50" s="131"/>
      <c r="AW50" s="141"/>
      <c r="AX50" s="131"/>
      <c r="AZ50" s="141"/>
      <c r="BA50" s="131"/>
      <c r="BC50" s="141"/>
      <c r="BF50" s="145"/>
      <c r="BG50" s="131"/>
      <c r="BI50" s="141"/>
      <c r="BJ50" s="131"/>
    </row>
    <row r="51" spans="1:62" s="144" customFormat="1" ht="25.5">
      <c r="A51" s="146" t="s">
        <v>84</v>
      </c>
      <c r="B51" s="131" t="s">
        <v>271</v>
      </c>
      <c r="C51" s="93"/>
      <c r="D51" s="93"/>
      <c r="E51" s="93"/>
      <c r="F51" s="94"/>
      <c r="G51" s="101"/>
      <c r="H51" s="103"/>
      <c r="I51" s="101"/>
      <c r="J51" s="102"/>
      <c r="K51" s="132">
        <f>K50+K$36/420</f>
        <v>16.303571428571427</v>
      </c>
      <c r="L51" s="132">
        <f>L50+L$36/420</f>
        <v>19.23952380952381</v>
      </c>
      <c r="M51" s="132"/>
      <c r="N51" s="133">
        <f>N50+P$36/420</f>
        <v>17.44075</v>
      </c>
      <c r="O51" s="150">
        <f>O50+R$36/420</f>
        <v>20.580089285714287</v>
      </c>
      <c r="P51" s="189">
        <f>N51</f>
        <v>17.44075</v>
      </c>
      <c r="Q51" s="191">
        <f>P51/100*18</f>
        <v>3.1393350000000004</v>
      </c>
      <c r="R51" s="194">
        <f>P51+Q51</f>
        <v>20.580085</v>
      </c>
      <c r="S51" s="137"/>
      <c r="T51" s="138">
        <f>(O51-L51)/L51</f>
        <v>0.06967768482538429</v>
      </c>
      <c r="U51" s="215">
        <f>U$41</f>
        <v>0.05</v>
      </c>
      <c r="V51" s="151">
        <f>V49*1.37/420</f>
        <v>18.260442952380952</v>
      </c>
      <c r="W51" s="152">
        <f>V51</f>
        <v>18.260442952380952</v>
      </c>
      <c r="X51" s="135">
        <f t="shared" si="2"/>
        <v>21.547322683809522</v>
      </c>
      <c r="Y51" s="139"/>
      <c r="Z51" s="140">
        <f t="shared" si="3"/>
        <v>0.08</v>
      </c>
      <c r="AA51" s="153">
        <f>AA49*1.37/420</f>
        <v>17.80833642857143</v>
      </c>
      <c r="AB51" s="154">
        <f>AA51*1.18</f>
        <v>21.013836985714285</v>
      </c>
      <c r="AC51" s="141"/>
      <c r="AD51" s="131"/>
      <c r="AE51" s="131"/>
      <c r="AF51" s="131"/>
      <c r="AG51" s="131"/>
      <c r="AH51" s="131"/>
      <c r="AI51" s="131"/>
      <c r="AJ51" s="142"/>
      <c r="AK51" s="141"/>
      <c r="AL51" s="131"/>
      <c r="AM51" s="131"/>
      <c r="AN51" s="131"/>
      <c r="AO51" s="141"/>
      <c r="AP51" s="131"/>
      <c r="AQ51" s="131"/>
      <c r="AR51" s="131"/>
      <c r="AS51" s="141"/>
      <c r="AT51" s="131"/>
      <c r="AU51" s="131"/>
      <c r="AV51" s="131"/>
      <c r="AW51" s="141"/>
      <c r="AX51" s="131"/>
      <c r="AZ51" s="141"/>
      <c r="BA51" s="131"/>
      <c r="BC51" s="141"/>
      <c r="BF51" s="145"/>
      <c r="BG51" s="131"/>
      <c r="BI51" s="141"/>
      <c r="BJ51" s="131"/>
    </row>
    <row r="52" spans="1:62" s="179" customFormat="1" ht="12.75">
      <c r="A52" s="146" t="s">
        <v>84</v>
      </c>
      <c r="B52" s="144" t="s">
        <v>88</v>
      </c>
      <c r="C52" s="93"/>
      <c r="D52" s="93"/>
      <c r="E52" s="93"/>
      <c r="F52" s="94"/>
      <c r="G52" s="101"/>
      <c r="H52" s="103"/>
      <c r="I52" s="101"/>
      <c r="J52" s="102"/>
      <c r="K52" s="185"/>
      <c r="L52" s="185"/>
      <c r="M52" s="185"/>
      <c r="N52" s="139"/>
      <c r="O52" s="139"/>
      <c r="P52" s="134"/>
      <c r="Q52" s="135"/>
      <c r="R52" s="136"/>
      <c r="S52" s="137"/>
      <c r="T52" s="138"/>
      <c r="U52" s="215">
        <f>U$48</f>
        <v>0.05</v>
      </c>
      <c r="V52" s="149">
        <f>ROUND(P52-P52*U52,)</f>
        <v>0</v>
      </c>
      <c r="W52" s="139"/>
      <c r="X52" s="139">
        <f t="shared" si="2"/>
        <v>0</v>
      </c>
      <c r="Y52" s="139"/>
      <c r="Z52" s="140">
        <f t="shared" si="3"/>
        <v>0.08</v>
      </c>
      <c r="AA52" s="139"/>
      <c r="AB52" s="139"/>
      <c r="AC52" s="141"/>
      <c r="AD52" s="178"/>
      <c r="AE52" s="178"/>
      <c r="AF52" s="178"/>
      <c r="AG52" s="178"/>
      <c r="AH52" s="178"/>
      <c r="AI52" s="178"/>
      <c r="AJ52" s="142" t="e">
        <f t="shared" si="11"/>
        <v>#DIV/0!</v>
      </c>
      <c r="AK52" s="141"/>
      <c r="AL52" s="178"/>
      <c r="AM52" s="178"/>
      <c r="AN52" s="178"/>
      <c r="AO52" s="141"/>
      <c r="AP52" s="178"/>
      <c r="AQ52" s="178"/>
      <c r="AR52" s="178"/>
      <c r="AS52" s="141"/>
      <c r="AT52" s="178"/>
      <c r="AU52" s="178"/>
      <c r="AV52" s="178"/>
      <c r="AW52" s="141"/>
      <c r="AX52" s="178"/>
      <c r="AZ52" s="141"/>
      <c r="BA52" s="178"/>
      <c r="BC52" s="141"/>
      <c r="BF52" s="145"/>
      <c r="BG52" s="178"/>
      <c r="BI52" s="141"/>
      <c r="BJ52" s="178"/>
    </row>
    <row r="53" spans="1:62" s="181" customFormat="1" ht="26.25" thickBot="1">
      <c r="A53" s="155" t="s">
        <v>84</v>
      </c>
      <c r="B53" s="156" t="s">
        <v>270</v>
      </c>
      <c r="C53" s="157"/>
      <c r="D53" s="157"/>
      <c r="E53" s="157"/>
      <c r="F53" s="158"/>
      <c r="G53" s="159"/>
      <c r="H53" s="160"/>
      <c r="I53" s="159"/>
      <c r="J53" s="161"/>
      <c r="K53" s="186"/>
      <c r="L53" s="186"/>
      <c r="M53" s="186"/>
      <c r="N53" s="168"/>
      <c r="O53" s="168"/>
      <c r="P53" s="162"/>
      <c r="Q53" s="163"/>
      <c r="R53" s="164"/>
      <c r="S53" s="165"/>
      <c r="T53" s="166"/>
      <c r="U53" s="216">
        <f>U$48</f>
        <v>0.05</v>
      </c>
      <c r="V53" s="167"/>
      <c r="W53" s="168"/>
      <c r="X53" s="168"/>
      <c r="Y53" s="168"/>
      <c r="Z53" s="169"/>
      <c r="AA53" s="168"/>
      <c r="AB53" s="168"/>
      <c r="AC53" s="170"/>
      <c r="AD53" s="180"/>
      <c r="AE53" s="180"/>
      <c r="AF53" s="180"/>
      <c r="AG53" s="180"/>
      <c r="AH53" s="180"/>
      <c r="AI53" s="180"/>
      <c r="AJ53" s="171"/>
      <c r="AK53" s="170"/>
      <c r="AL53" s="180"/>
      <c r="AM53" s="180"/>
      <c r="AN53" s="180"/>
      <c r="AO53" s="170"/>
      <c r="AP53" s="180"/>
      <c r="AQ53" s="180"/>
      <c r="AR53" s="180"/>
      <c r="AS53" s="170"/>
      <c r="AT53" s="180"/>
      <c r="AU53" s="180"/>
      <c r="AV53" s="180"/>
      <c r="AW53" s="170"/>
      <c r="AX53" s="180"/>
      <c r="AZ53" s="170"/>
      <c r="BA53" s="180"/>
      <c r="BC53" s="170"/>
      <c r="BF53" s="173"/>
      <c r="BG53" s="180"/>
      <c r="BI53" s="170"/>
      <c r="BJ53" s="180"/>
    </row>
    <row r="54" spans="3:36" ht="13.5" thickBot="1">
      <c r="C54" s="174"/>
      <c r="D54" s="174"/>
      <c r="E54" s="174"/>
      <c r="F54" s="175"/>
      <c r="L54" s="6"/>
      <c r="M54" s="6"/>
      <c r="S54" s="14"/>
      <c r="T54" s="18"/>
      <c r="U54" s="12"/>
      <c r="V54" s="88"/>
      <c r="Z54" s="12"/>
      <c r="AJ54" s="9"/>
    </row>
    <row r="55" spans="1:62" s="183" customFormat="1" ht="12.75">
      <c r="A55" s="176" t="s">
        <v>85</v>
      </c>
      <c r="B55" s="128" t="s">
        <v>82</v>
      </c>
      <c r="C55" s="116"/>
      <c r="D55" s="116"/>
      <c r="E55" s="116"/>
      <c r="F55" s="117"/>
      <c r="G55" s="95"/>
      <c r="H55" s="96"/>
      <c r="I55" s="95"/>
      <c r="J55" s="118"/>
      <c r="K55" s="119">
        <v>5350</v>
      </c>
      <c r="L55" s="119">
        <f>ROUND(K55/100*118,2)</f>
        <v>6313</v>
      </c>
      <c r="M55" s="119"/>
      <c r="N55" s="120">
        <f>K55*(100%+S55)</f>
        <v>5724.5</v>
      </c>
      <c r="O55" s="120">
        <f t="shared" si="1"/>
        <v>6754.91</v>
      </c>
      <c r="P55" s="195">
        <v>5750</v>
      </c>
      <c r="Q55" s="196">
        <f>P55*0.18</f>
        <v>1035</v>
      </c>
      <c r="R55" s="197">
        <f>Q55+P55</f>
        <v>6785</v>
      </c>
      <c r="S55" s="121">
        <v>0.07</v>
      </c>
      <c r="T55" s="122">
        <f t="shared" si="10"/>
        <v>0.06999999999999998</v>
      </c>
      <c r="U55" s="124">
        <v>0.05</v>
      </c>
      <c r="V55" s="177">
        <f>ROUND(P55-P55*U55,)</f>
        <v>5463</v>
      </c>
      <c r="W55" s="120"/>
      <c r="X55" s="120">
        <f t="shared" si="2"/>
        <v>0</v>
      </c>
      <c r="Y55" s="120"/>
      <c r="Z55" s="124">
        <f t="shared" si="3"/>
        <v>0.08</v>
      </c>
      <c r="AA55" s="120"/>
      <c r="AB55" s="120"/>
      <c r="AC55" s="125"/>
      <c r="AD55" s="182">
        <v>3310</v>
      </c>
      <c r="AE55" s="182"/>
      <c r="AF55" s="182"/>
      <c r="AG55" s="182"/>
      <c r="AH55" s="182">
        <v>3710</v>
      </c>
      <c r="AI55" s="182"/>
      <c r="AJ55" s="126">
        <f t="shared" si="11"/>
        <v>0.12084592145015106</v>
      </c>
      <c r="AK55" s="125"/>
      <c r="AL55" s="115">
        <v>3280</v>
      </c>
      <c r="AM55" s="115">
        <v>3610</v>
      </c>
      <c r="AN55" s="127">
        <f>(AM55-AL55)/AL55</f>
        <v>0.10060975609756098</v>
      </c>
      <c r="AO55" s="125"/>
      <c r="AP55" s="115">
        <v>3560</v>
      </c>
      <c r="AQ55" s="115"/>
      <c r="AR55" s="127">
        <f>(AQ55-AP55)/AP55</f>
        <v>-1</v>
      </c>
      <c r="AS55" s="125"/>
      <c r="AT55" s="115">
        <f>7100/1.18</f>
        <v>6016.949152542373</v>
      </c>
      <c r="AU55" s="115"/>
      <c r="AV55" s="127">
        <f>(AU55-AT55)/AT55</f>
        <v>-1</v>
      </c>
      <c r="AW55" s="125"/>
      <c r="AX55" s="115"/>
      <c r="AZ55" s="125"/>
      <c r="BA55" s="115"/>
      <c r="BC55" s="125"/>
      <c r="BD55" s="128"/>
      <c r="BE55" s="128"/>
      <c r="BF55" s="129"/>
      <c r="BG55" s="182"/>
      <c r="BI55" s="125"/>
      <c r="BJ55" s="115"/>
    </row>
    <row r="56" spans="1:62" s="179" customFormat="1" ht="12.75">
      <c r="A56" s="146" t="s">
        <v>85</v>
      </c>
      <c r="B56" s="144" t="s">
        <v>83</v>
      </c>
      <c r="C56" s="93"/>
      <c r="D56" s="93"/>
      <c r="E56" s="93"/>
      <c r="F56" s="94"/>
      <c r="G56" s="101"/>
      <c r="H56" s="103"/>
      <c r="I56" s="101"/>
      <c r="J56" s="102"/>
      <c r="K56" s="185">
        <f>K55*1.37/420</f>
        <v>17.45119047619048</v>
      </c>
      <c r="L56" s="185">
        <f>ROUND(K56/100*118,2)</f>
        <v>20.59</v>
      </c>
      <c r="M56" s="185"/>
      <c r="N56" s="185">
        <f>K56*(100%+S56)</f>
        <v>18.672773809523814</v>
      </c>
      <c r="O56" s="139">
        <f t="shared" si="1"/>
        <v>22.0338730952381</v>
      </c>
      <c r="P56" s="189"/>
      <c r="Q56" s="191">
        <f>P56*0.18</f>
        <v>0</v>
      </c>
      <c r="R56" s="192">
        <f>Q56+P56</f>
        <v>0</v>
      </c>
      <c r="S56" s="137">
        <f>S55</f>
        <v>0.07</v>
      </c>
      <c r="T56" s="138">
        <f t="shared" si="10"/>
        <v>0.07012496820000486</v>
      </c>
      <c r="U56" s="140">
        <f>U55</f>
        <v>0.05</v>
      </c>
      <c r="V56" s="149">
        <f>ROUND(P56-P56*U56,)</f>
        <v>0</v>
      </c>
      <c r="W56" s="139"/>
      <c r="X56" s="139">
        <f t="shared" si="2"/>
        <v>0</v>
      </c>
      <c r="Y56" s="139"/>
      <c r="Z56" s="140">
        <f t="shared" si="3"/>
        <v>0.08</v>
      </c>
      <c r="AA56" s="139"/>
      <c r="AB56" s="139"/>
      <c r="AC56" s="141"/>
      <c r="AD56" s="178"/>
      <c r="AE56" s="178"/>
      <c r="AF56" s="178"/>
      <c r="AG56" s="178"/>
      <c r="AH56" s="178"/>
      <c r="AI56" s="178"/>
      <c r="AJ56" s="142" t="e">
        <f t="shared" si="11"/>
        <v>#DIV/0!</v>
      </c>
      <c r="AK56" s="141"/>
      <c r="AL56" s="178"/>
      <c r="AM56" s="178"/>
      <c r="AN56" s="178"/>
      <c r="AO56" s="141"/>
      <c r="AP56" s="178"/>
      <c r="AQ56" s="178"/>
      <c r="AR56" s="178"/>
      <c r="AS56" s="141"/>
      <c r="AT56" s="178"/>
      <c r="AU56" s="178"/>
      <c r="AV56" s="178"/>
      <c r="AW56" s="141"/>
      <c r="AX56" s="178"/>
      <c r="AZ56" s="141"/>
      <c r="BA56" s="178"/>
      <c r="BC56" s="141"/>
      <c r="BF56" s="145"/>
      <c r="BG56" s="178"/>
      <c r="BI56" s="141"/>
      <c r="BJ56" s="178"/>
    </row>
    <row r="57" spans="1:62" s="181" customFormat="1" ht="13.5" thickBot="1">
      <c r="A57" s="155" t="s">
        <v>85</v>
      </c>
      <c r="B57" s="172" t="s">
        <v>88</v>
      </c>
      <c r="C57" s="157"/>
      <c r="D57" s="157"/>
      <c r="E57" s="157"/>
      <c r="F57" s="158"/>
      <c r="G57" s="159"/>
      <c r="H57" s="160"/>
      <c r="I57" s="159"/>
      <c r="J57" s="161"/>
      <c r="K57" s="186">
        <f>K55*1.37</f>
        <v>7329.500000000001</v>
      </c>
      <c r="L57" s="186">
        <f>ROUND(K57/100*118,2)</f>
        <v>8648.81</v>
      </c>
      <c r="M57" s="186"/>
      <c r="N57" s="186">
        <f>K57*(100%+S57)</f>
        <v>7842.565000000001</v>
      </c>
      <c r="O57" s="168">
        <f t="shared" si="1"/>
        <v>9254.226700000001</v>
      </c>
      <c r="P57" s="198"/>
      <c r="Q57" s="199">
        <f>P57*0.18</f>
        <v>0</v>
      </c>
      <c r="R57" s="200">
        <f>Q57+P57</f>
        <v>0</v>
      </c>
      <c r="S57" s="165">
        <f>S55</f>
        <v>0.07</v>
      </c>
      <c r="T57" s="166">
        <f t="shared" si="10"/>
        <v>0.07000000000000019</v>
      </c>
      <c r="U57" s="169">
        <f>U56</f>
        <v>0.05</v>
      </c>
      <c r="V57" s="168">
        <f>ROUND(P57-P57*U57,)</f>
        <v>0</v>
      </c>
      <c r="W57" s="168"/>
      <c r="X57" s="168">
        <f t="shared" si="2"/>
        <v>0</v>
      </c>
      <c r="Y57" s="168"/>
      <c r="Z57" s="169">
        <f t="shared" si="3"/>
        <v>0.08</v>
      </c>
      <c r="AA57" s="168"/>
      <c r="AB57" s="168"/>
      <c r="AC57" s="170"/>
      <c r="AD57" s="180"/>
      <c r="AE57" s="180"/>
      <c r="AF57" s="180"/>
      <c r="AG57" s="180"/>
      <c r="AH57" s="180"/>
      <c r="AI57" s="180"/>
      <c r="AJ57" s="171" t="e">
        <f t="shared" si="11"/>
        <v>#DIV/0!</v>
      </c>
      <c r="AK57" s="170"/>
      <c r="AL57" s="180"/>
      <c r="AM57" s="180"/>
      <c r="AN57" s="180"/>
      <c r="AO57" s="170"/>
      <c r="AP57" s="180"/>
      <c r="AQ57" s="180"/>
      <c r="AR57" s="180"/>
      <c r="AS57" s="170"/>
      <c r="AT57" s="180"/>
      <c r="AU57" s="180"/>
      <c r="AV57" s="180"/>
      <c r="AW57" s="170"/>
      <c r="AX57" s="180"/>
      <c r="AZ57" s="170"/>
      <c r="BA57" s="180"/>
      <c r="BC57" s="170"/>
      <c r="BF57" s="173"/>
      <c r="BG57" s="180"/>
      <c r="BI57" s="170"/>
      <c r="BJ57" s="180"/>
    </row>
    <row r="58" spans="3:36" ht="13.5" thickBot="1">
      <c r="C58" s="174"/>
      <c r="D58" s="174"/>
      <c r="E58" s="174"/>
      <c r="F58" s="175"/>
      <c r="L58" s="6"/>
      <c r="M58" s="6"/>
      <c r="S58" s="14"/>
      <c r="T58" s="18"/>
      <c r="U58" s="12"/>
      <c r="Z58" s="12"/>
      <c r="AJ58" s="9"/>
    </row>
    <row r="59" spans="1:62" s="183" customFormat="1" ht="12.75">
      <c r="A59" s="176" t="s">
        <v>86</v>
      </c>
      <c r="B59" s="128" t="s">
        <v>82</v>
      </c>
      <c r="C59" s="116"/>
      <c r="D59" s="116"/>
      <c r="E59" s="116"/>
      <c r="F59" s="117"/>
      <c r="G59" s="95"/>
      <c r="H59" s="96"/>
      <c r="I59" s="95"/>
      <c r="J59" s="118"/>
      <c r="K59" s="187">
        <v>5350</v>
      </c>
      <c r="L59" s="187">
        <f>ROUND(K59/100*118,2)</f>
        <v>6313</v>
      </c>
      <c r="M59" s="187"/>
      <c r="N59" s="187">
        <f>K59*(100%+S59)</f>
        <v>5724.5</v>
      </c>
      <c r="O59" s="120">
        <f t="shared" si="1"/>
        <v>6754.91</v>
      </c>
      <c r="P59" s="195">
        <v>5750</v>
      </c>
      <c r="Q59" s="196">
        <f>P59*0.18</f>
        <v>1035</v>
      </c>
      <c r="R59" s="197">
        <f>Q59+P59</f>
        <v>6785</v>
      </c>
      <c r="S59" s="121">
        <v>0.07</v>
      </c>
      <c r="T59" s="122">
        <f t="shared" si="10"/>
        <v>0.06999999999999998</v>
      </c>
      <c r="U59" s="124">
        <v>0.05</v>
      </c>
      <c r="V59" s="120">
        <f>ROUND(P59-P59*U59,)</f>
        <v>5463</v>
      </c>
      <c r="W59" s="120"/>
      <c r="X59" s="120">
        <f t="shared" si="2"/>
        <v>0</v>
      </c>
      <c r="Y59" s="120"/>
      <c r="Z59" s="124">
        <f t="shared" si="3"/>
        <v>0.08</v>
      </c>
      <c r="AA59" s="120"/>
      <c r="AB59" s="120"/>
      <c r="AC59" s="125"/>
      <c r="AD59" s="182">
        <v>3310</v>
      </c>
      <c r="AE59" s="182"/>
      <c r="AF59" s="182"/>
      <c r="AG59" s="182"/>
      <c r="AH59" s="182">
        <v>3710</v>
      </c>
      <c r="AI59" s="182"/>
      <c r="AJ59" s="126">
        <f t="shared" si="11"/>
        <v>0.12084592145015106</v>
      </c>
      <c r="AK59" s="125"/>
      <c r="AL59" s="115">
        <v>3280</v>
      </c>
      <c r="AM59" s="115">
        <v>3610</v>
      </c>
      <c r="AN59" s="127">
        <f>(AM59-AL59)/AL59</f>
        <v>0.10060975609756098</v>
      </c>
      <c r="AO59" s="125"/>
      <c r="AP59" s="115">
        <v>3560</v>
      </c>
      <c r="AQ59" s="115"/>
      <c r="AR59" s="127">
        <f>(AQ59-AP59)/AP59</f>
        <v>-1</v>
      </c>
      <c r="AS59" s="125"/>
      <c r="AT59" s="115">
        <f>7100/1.18</f>
        <v>6016.949152542373</v>
      </c>
      <c r="AU59" s="115"/>
      <c r="AV59" s="127">
        <f>(AU59-AT59)/AT59</f>
        <v>-1</v>
      </c>
      <c r="AW59" s="125"/>
      <c r="AX59" s="115"/>
      <c r="AZ59" s="125"/>
      <c r="BA59" s="115"/>
      <c r="BC59" s="125"/>
      <c r="BD59" s="128"/>
      <c r="BE59" s="128"/>
      <c r="BF59" s="129"/>
      <c r="BG59" s="182"/>
      <c r="BI59" s="125"/>
      <c r="BJ59" s="115"/>
    </row>
    <row r="60" spans="1:62" s="179" customFormat="1" ht="12.75">
      <c r="A60" s="146" t="s">
        <v>86</v>
      </c>
      <c r="B60" s="144" t="s">
        <v>83</v>
      </c>
      <c r="C60" s="93"/>
      <c r="D60" s="93"/>
      <c r="E60" s="93"/>
      <c r="F60" s="94"/>
      <c r="G60" s="101"/>
      <c r="H60" s="103"/>
      <c r="I60" s="101"/>
      <c r="J60" s="102"/>
      <c r="K60" s="185">
        <f>K59*1.37/420</f>
        <v>17.45119047619048</v>
      </c>
      <c r="L60" s="185">
        <f>ROUND(K60/100*118,2)</f>
        <v>20.59</v>
      </c>
      <c r="M60" s="185"/>
      <c r="N60" s="185">
        <f>K60*(100%+S60)</f>
        <v>18.672773809523814</v>
      </c>
      <c r="O60" s="139">
        <f t="shared" si="1"/>
        <v>22.0338730952381</v>
      </c>
      <c r="P60" s="189"/>
      <c r="Q60" s="191">
        <f>P60*0.18</f>
        <v>0</v>
      </c>
      <c r="R60" s="192">
        <f>Q60+P60</f>
        <v>0</v>
      </c>
      <c r="S60" s="137">
        <f>S59</f>
        <v>0.07</v>
      </c>
      <c r="T60" s="138">
        <f t="shared" si="10"/>
        <v>0.07012496820000486</v>
      </c>
      <c r="U60" s="140">
        <f>U59</f>
        <v>0.05</v>
      </c>
      <c r="V60" s="139">
        <f>ROUND(P60-P60*U60,)</f>
        <v>0</v>
      </c>
      <c r="W60" s="139"/>
      <c r="X60" s="139">
        <f t="shared" si="2"/>
        <v>0</v>
      </c>
      <c r="Y60" s="139"/>
      <c r="Z60" s="140">
        <f t="shared" si="3"/>
        <v>0.08</v>
      </c>
      <c r="AA60" s="139"/>
      <c r="AB60" s="139"/>
      <c r="AC60" s="141"/>
      <c r="AD60" s="178"/>
      <c r="AE60" s="178"/>
      <c r="AF60" s="178"/>
      <c r="AG60" s="178"/>
      <c r="AH60" s="178"/>
      <c r="AI60" s="178"/>
      <c r="AJ60" s="142" t="e">
        <f t="shared" si="11"/>
        <v>#DIV/0!</v>
      </c>
      <c r="AK60" s="141"/>
      <c r="AL60" s="178"/>
      <c r="AM60" s="178"/>
      <c r="AN60" s="178"/>
      <c r="AO60" s="141"/>
      <c r="AP60" s="178"/>
      <c r="AQ60" s="178"/>
      <c r="AR60" s="178"/>
      <c r="AS60" s="141"/>
      <c r="AT60" s="178"/>
      <c r="AU60" s="178"/>
      <c r="AV60" s="178"/>
      <c r="AW60" s="141"/>
      <c r="AX60" s="178"/>
      <c r="AZ60" s="141"/>
      <c r="BA60" s="178"/>
      <c r="BC60" s="141"/>
      <c r="BF60" s="145"/>
      <c r="BG60" s="178"/>
      <c r="BI60" s="141"/>
      <c r="BJ60" s="178"/>
    </row>
    <row r="61" spans="1:62" s="181" customFormat="1" ht="13.5" thickBot="1">
      <c r="A61" s="155" t="s">
        <v>86</v>
      </c>
      <c r="B61" s="172" t="s">
        <v>88</v>
      </c>
      <c r="C61" s="157"/>
      <c r="D61" s="157"/>
      <c r="E61" s="157"/>
      <c r="F61" s="158"/>
      <c r="G61" s="159"/>
      <c r="H61" s="160"/>
      <c r="I61" s="159"/>
      <c r="J61" s="161"/>
      <c r="K61" s="186">
        <f>K59*1.37</f>
        <v>7329.500000000001</v>
      </c>
      <c r="L61" s="186">
        <f>ROUND(K61/100*118,2)</f>
        <v>8648.81</v>
      </c>
      <c r="M61" s="186"/>
      <c r="N61" s="186">
        <f>K61*(100%+S61)</f>
        <v>7842.565000000001</v>
      </c>
      <c r="O61" s="168">
        <f t="shared" si="1"/>
        <v>9254.226700000001</v>
      </c>
      <c r="P61" s="162"/>
      <c r="Q61" s="163">
        <f>P61*0.18</f>
        <v>0</v>
      </c>
      <c r="R61" s="164">
        <f>Q61+P61</f>
        <v>0</v>
      </c>
      <c r="S61" s="165">
        <f>S59</f>
        <v>0.07</v>
      </c>
      <c r="T61" s="166">
        <f t="shared" si="10"/>
        <v>0.07000000000000019</v>
      </c>
      <c r="U61" s="169">
        <f>U60</f>
        <v>0.05</v>
      </c>
      <c r="V61" s="168">
        <f>ROUND(P61-P61*U61,)</f>
        <v>0</v>
      </c>
      <c r="W61" s="168"/>
      <c r="X61" s="168">
        <f t="shared" si="2"/>
        <v>0</v>
      </c>
      <c r="Y61" s="168"/>
      <c r="Z61" s="169">
        <f t="shared" si="3"/>
        <v>0.08</v>
      </c>
      <c r="AA61" s="168"/>
      <c r="AB61" s="168"/>
      <c r="AC61" s="170"/>
      <c r="AD61" s="180"/>
      <c r="AE61" s="180"/>
      <c r="AF61" s="180"/>
      <c r="AG61" s="180"/>
      <c r="AH61" s="180"/>
      <c r="AI61" s="180"/>
      <c r="AJ61" s="171" t="e">
        <f t="shared" si="11"/>
        <v>#DIV/0!</v>
      </c>
      <c r="AK61" s="170"/>
      <c r="AL61" s="180"/>
      <c r="AM61" s="180"/>
      <c r="AN61" s="180"/>
      <c r="AO61" s="170"/>
      <c r="AP61" s="180"/>
      <c r="AQ61" s="180"/>
      <c r="AR61" s="180"/>
      <c r="AS61" s="170"/>
      <c r="AT61" s="180"/>
      <c r="AU61" s="180"/>
      <c r="AV61" s="180"/>
      <c r="AW61" s="170"/>
      <c r="AX61" s="180"/>
      <c r="AZ61" s="170"/>
      <c r="BA61" s="180"/>
      <c r="BC61" s="170"/>
      <c r="BF61" s="173"/>
      <c r="BG61" s="180"/>
      <c r="BI61" s="170"/>
      <c r="BJ61" s="180"/>
    </row>
    <row r="62" spans="3:36" ht="13.5" thickBot="1">
      <c r="C62" s="174"/>
      <c r="D62" s="174"/>
      <c r="E62" s="174"/>
      <c r="F62" s="175"/>
      <c r="S62" s="14"/>
      <c r="T62" s="18"/>
      <c r="U62" s="12"/>
      <c r="Z62" s="12"/>
      <c r="AJ62" s="9"/>
    </row>
    <row r="63" spans="1:62" s="183" customFormat="1" ht="12.75">
      <c r="A63" s="201" t="s">
        <v>87</v>
      </c>
      <c r="B63" s="183" t="s">
        <v>68</v>
      </c>
      <c r="C63" s="116"/>
      <c r="D63" s="116"/>
      <c r="E63" s="116"/>
      <c r="F63" s="117"/>
      <c r="G63" s="95"/>
      <c r="H63" s="96"/>
      <c r="I63" s="95"/>
      <c r="J63" s="118"/>
      <c r="K63" s="120">
        <v>3100</v>
      </c>
      <c r="L63" s="119">
        <f>ROUND(K63/100*118,2)</f>
        <v>3658</v>
      </c>
      <c r="M63" s="119"/>
      <c r="N63" s="120">
        <f>K63*(100%+S63)</f>
        <v>3720</v>
      </c>
      <c r="O63" s="120">
        <f t="shared" si="1"/>
        <v>4389.599999999999</v>
      </c>
      <c r="P63" s="195">
        <v>3700</v>
      </c>
      <c r="Q63" s="196">
        <f>P63*0.18</f>
        <v>666</v>
      </c>
      <c r="R63" s="197">
        <f>Q63+P63</f>
        <v>4366</v>
      </c>
      <c r="S63" s="121">
        <v>0.2</v>
      </c>
      <c r="T63" s="122">
        <f t="shared" si="10"/>
        <v>0.19999999999999984</v>
      </c>
      <c r="U63" s="124">
        <v>0.05</v>
      </c>
      <c r="V63" s="120">
        <f>ROUND(P63-P63*U63,)</f>
        <v>3515</v>
      </c>
      <c r="W63" s="120"/>
      <c r="X63" s="120">
        <f t="shared" si="2"/>
        <v>0</v>
      </c>
      <c r="Y63" s="120"/>
      <c r="Z63" s="124">
        <f t="shared" si="3"/>
        <v>0.08</v>
      </c>
      <c r="AA63" s="120"/>
      <c r="AB63" s="120"/>
      <c r="AC63" s="125"/>
      <c r="AD63" s="182">
        <v>0</v>
      </c>
      <c r="AE63" s="182"/>
      <c r="AF63" s="182"/>
      <c r="AG63" s="182"/>
      <c r="AH63" s="182">
        <v>0</v>
      </c>
      <c r="AI63" s="182"/>
      <c r="AJ63" s="126" t="e">
        <f t="shared" si="11"/>
        <v>#DIV/0!</v>
      </c>
      <c r="AK63" s="125"/>
      <c r="AL63" s="182"/>
      <c r="AM63" s="182"/>
      <c r="AN63" s="182"/>
      <c r="AO63" s="125"/>
      <c r="AP63" s="182"/>
      <c r="AQ63" s="182"/>
      <c r="AR63" s="182"/>
      <c r="AS63" s="125"/>
      <c r="AT63" s="182">
        <f>5950/1.18</f>
        <v>5042.372881355933</v>
      </c>
      <c r="AU63" s="182"/>
      <c r="AV63" s="182"/>
      <c r="AW63" s="125"/>
      <c r="AX63" s="182"/>
      <c r="AZ63" s="125"/>
      <c r="BA63" s="182"/>
      <c r="BC63" s="125"/>
      <c r="BF63" s="129"/>
      <c r="BG63" s="182"/>
      <c r="BI63" s="125"/>
      <c r="BJ63" s="182"/>
    </row>
    <row r="64" spans="1:62" s="179" customFormat="1" ht="12.75">
      <c r="A64" s="202" t="s">
        <v>87</v>
      </c>
      <c r="B64" s="179" t="s">
        <v>73</v>
      </c>
      <c r="C64" s="93"/>
      <c r="D64" s="93"/>
      <c r="E64" s="93"/>
      <c r="F64" s="94"/>
      <c r="G64" s="101"/>
      <c r="H64" s="103"/>
      <c r="I64" s="101"/>
      <c r="J64" s="102"/>
      <c r="K64" s="139">
        <v>3600</v>
      </c>
      <c r="L64" s="148">
        <f>ROUND(K64/100*118,2)</f>
        <v>4248</v>
      </c>
      <c r="M64" s="148"/>
      <c r="N64" s="139">
        <f>K64*(100%+S64)</f>
        <v>4320</v>
      </c>
      <c r="O64" s="139">
        <f t="shared" si="1"/>
        <v>5097.599999999999</v>
      </c>
      <c r="P64" s="189">
        <v>4300</v>
      </c>
      <c r="Q64" s="191">
        <f>P64*0.18</f>
        <v>774</v>
      </c>
      <c r="R64" s="192">
        <f>Q64+P64</f>
        <v>5074</v>
      </c>
      <c r="S64" s="137">
        <v>0.2</v>
      </c>
      <c r="T64" s="138">
        <f t="shared" si="10"/>
        <v>0.19999999999999987</v>
      </c>
      <c r="U64" s="140">
        <v>0.05</v>
      </c>
      <c r="V64" s="139">
        <f>ROUND(P64-P64*U64,)</f>
        <v>4085</v>
      </c>
      <c r="W64" s="139"/>
      <c r="X64" s="139">
        <f t="shared" si="2"/>
        <v>0</v>
      </c>
      <c r="Y64" s="139"/>
      <c r="Z64" s="140">
        <f t="shared" si="3"/>
        <v>0.08</v>
      </c>
      <c r="AA64" s="139"/>
      <c r="AB64" s="139"/>
      <c r="AC64" s="141"/>
      <c r="AD64" s="178">
        <v>0</v>
      </c>
      <c r="AE64" s="178"/>
      <c r="AF64" s="178"/>
      <c r="AG64" s="178"/>
      <c r="AH64" s="178">
        <v>0</v>
      </c>
      <c r="AI64" s="178"/>
      <c r="AJ64" s="142" t="e">
        <f t="shared" si="11"/>
        <v>#DIV/0!</v>
      </c>
      <c r="AK64" s="141"/>
      <c r="AL64" s="178"/>
      <c r="AM64" s="178"/>
      <c r="AN64" s="178"/>
      <c r="AO64" s="141"/>
      <c r="AP64" s="178"/>
      <c r="AQ64" s="178"/>
      <c r="AR64" s="178"/>
      <c r="AS64" s="141"/>
      <c r="AT64" s="178"/>
      <c r="AU64" s="178"/>
      <c r="AV64" s="178"/>
      <c r="AW64" s="141"/>
      <c r="AX64" s="178"/>
      <c r="AZ64" s="141"/>
      <c r="BA64" s="178"/>
      <c r="BC64" s="141"/>
      <c r="BF64" s="145"/>
      <c r="BG64" s="178"/>
      <c r="BI64" s="141"/>
      <c r="BJ64" s="178"/>
    </row>
    <row r="65" spans="1:62" s="181" customFormat="1" ht="13.5" thickBot="1">
      <c r="A65" s="203" t="s">
        <v>87</v>
      </c>
      <c r="B65" s="181" t="s">
        <v>75</v>
      </c>
      <c r="C65" s="157"/>
      <c r="D65" s="157"/>
      <c r="E65" s="157"/>
      <c r="F65" s="158"/>
      <c r="G65" s="159"/>
      <c r="H65" s="160"/>
      <c r="I65" s="159"/>
      <c r="J65" s="161"/>
      <c r="K65" s="168">
        <v>0</v>
      </c>
      <c r="L65" s="184">
        <f>ROUND(K65/100*118,2)</f>
        <v>0</v>
      </c>
      <c r="M65" s="184"/>
      <c r="N65" s="168">
        <f>K65*1.15</f>
        <v>0</v>
      </c>
      <c r="O65" s="168"/>
      <c r="P65" s="198"/>
      <c r="Q65" s="199">
        <f>P65*0.18</f>
        <v>0</v>
      </c>
      <c r="R65" s="200">
        <f>Q65+P65</f>
        <v>0</v>
      </c>
      <c r="S65" s="204"/>
      <c r="T65" s="205"/>
      <c r="U65" s="168"/>
      <c r="V65" s="168"/>
      <c r="W65" s="168"/>
      <c r="X65" s="168"/>
      <c r="Y65" s="168"/>
      <c r="Z65" s="168"/>
      <c r="AA65" s="168"/>
      <c r="AB65" s="168"/>
      <c r="AC65" s="170"/>
      <c r="AD65" s="180">
        <v>1242</v>
      </c>
      <c r="AE65" s="156">
        <f>AF65/1.18</f>
        <v>1960.3525641025642</v>
      </c>
      <c r="AF65" s="180">
        <f>144344.68/62.4</f>
        <v>2313.2160256410257</v>
      </c>
      <c r="AG65" s="156">
        <f>AE65-AD65</f>
        <v>718.3525641025642</v>
      </c>
      <c r="AH65" s="180">
        <v>1490</v>
      </c>
      <c r="AI65" s="156">
        <f>AH65+AG65/100*115</f>
        <v>2316.105448717949</v>
      </c>
      <c r="AJ65" s="171">
        <f t="shared" si="11"/>
        <v>0.1996779388083736</v>
      </c>
      <c r="AK65" s="170"/>
      <c r="AL65" s="180">
        <v>1785</v>
      </c>
      <c r="AM65" s="180">
        <v>2140</v>
      </c>
      <c r="AN65" s="206">
        <f>(AM65-AL65)/AL65</f>
        <v>0.19887955182072828</v>
      </c>
      <c r="AO65" s="170"/>
      <c r="AP65" s="180">
        <v>2100</v>
      </c>
      <c r="AQ65" s="180"/>
      <c r="AR65" s="206">
        <f>(AQ65-AP65)/AP65</f>
        <v>-1</v>
      </c>
      <c r="AS65" s="170"/>
      <c r="AT65" s="180">
        <f>3750/1.18</f>
        <v>3177.9661016949153</v>
      </c>
      <c r="AU65" s="180"/>
      <c r="AV65" s="206">
        <f>(AU65-AT65)/AT65</f>
        <v>-1</v>
      </c>
      <c r="AW65" s="170"/>
      <c r="AX65" s="180">
        <v>2500</v>
      </c>
      <c r="AZ65" s="170"/>
      <c r="BA65" s="180"/>
      <c r="BC65" s="170"/>
      <c r="BF65" s="173"/>
      <c r="BG65" s="180"/>
      <c r="BI65" s="170"/>
      <c r="BJ65" s="180"/>
    </row>
    <row r="66" spans="3:18" ht="12.75">
      <c r="C66" s="112"/>
      <c r="D66" s="112"/>
      <c r="E66" s="112"/>
      <c r="F66" s="113"/>
      <c r="Q66" s="15">
        <f>P66*0.18</f>
        <v>0</v>
      </c>
      <c r="R66" s="16">
        <f>Q66+P66</f>
        <v>0</v>
      </c>
    </row>
    <row r="67" spans="1:62" s="179" customFormat="1" ht="51">
      <c r="A67" s="146" t="s">
        <v>235</v>
      </c>
      <c r="B67" s="144" t="s">
        <v>82</v>
      </c>
      <c r="C67" s="93"/>
      <c r="D67" s="93"/>
      <c r="E67" s="93"/>
      <c r="F67" s="94"/>
      <c r="G67" s="101"/>
      <c r="H67" s="103"/>
      <c r="I67" s="101"/>
      <c r="J67" s="102"/>
      <c r="K67" s="185"/>
      <c r="L67" s="185"/>
      <c r="M67" s="185"/>
      <c r="N67" s="185"/>
      <c r="O67" s="139"/>
      <c r="P67" s="189"/>
      <c r="Q67" s="191"/>
      <c r="R67" s="192"/>
      <c r="S67" s="137"/>
      <c r="T67" s="138"/>
      <c r="U67" s="140"/>
      <c r="V67" s="139"/>
      <c r="W67" s="139"/>
      <c r="X67" s="139"/>
      <c r="Y67" s="139"/>
      <c r="Z67" s="140"/>
      <c r="AA67" s="139"/>
      <c r="AB67" s="139"/>
      <c r="AC67" s="141"/>
      <c r="AD67" s="178"/>
      <c r="AE67" s="178"/>
      <c r="AF67" s="178"/>
      <c r="AG67" s="178"/>
      <c r="AH67" s="178"/>
      <c r="AI67" s="178"/>
      <c r="AJ67" s="142"/>
      <c r="AK67" s="141"/>
      <c r="AL67" s="178"/>
      <c r="AM67" s="178"/>
      <c r="AN67" s="178"/>
      <c r="AO67" s="141"/>
      <c r="AP67" s="178">
        <v>12118.64</v>
      </c>
      <c r="AQ67" s="178"/>
      <c r="AR67" s="178" t="s">
        <v>279</v>
      </c>
      <c r="AS67" s="141"/>
      <c r="AT67" s="178"/>
      <c r="AU67" s="178"/>
      <c r="AV67" s="178"/>
      <c r="AW67" s="141"/>
      <c r="AX67" s="178"/>
      <c r="AZ67" s="141"/>
      <c r="BA67" s="178"/>
      <c r="BC67" s="141"/>
      <c r="BF67" s="145"/>
      <c r="BG67" s="178"/>
      <c r="BI67" s="141"/>
      <c r="BJ67" s="178"/>
    </row>
    <row r="68" spans="1:62" s="179" customFormat="1" ht="12.75">
      <c r="A68" s="146" t="s">
        <v>232</v>
      </c>
      <c r="B68" s="144"/>
      <c r="C68" s="93"/>
      <c r="D68" s="93"/>
      <c r="E68" s="93"/>
      <c r="F68" s="94"/>
      <c r="G68" s="101"/>
      <c r="H68" s="103"/>
      <c r="I68" s="101"/>
      <c r="J68" s="102"/>
      <c r="K68" s="185"/>
      <c r="L68" s="185"/>
      <c r="M68" s="185"/>
      <c r="N68" s="185"/>
      <c r="O68" s="139"/>
      <c r="P68" s="189"/>
      <c r="Q68" s="191"/>
      <c r="R68" s="192"/>
      <c r="S68" s="137"/>
      <c r="T68" s="138"/>
      <c r="U68" s="140"/>
      <c r="V68" s="139"/>
      <c r="W68" s="139"/>
      <c r="X68" s="139"/>
      <c r="Y68" s="139"/>
      <c r="Z68" s="140"/>
      <c r="AA68" s="139"/>
      <c r="AB68" s="139"/>
      <c r="AC68" s="141"/>
      <c r="AD68" s="178"/>
      <c r="AE68" s="178"/>
      <c r="AF68" s="178"/>
      <c r="AG68" s="178"/>
      <c r="AH68" s="178"/>
      <c r="AI68" s="178"/>
      <c r="AJ68" s="142"/>
      <c r="AK68" s="141"/>
      <c r="AL68" s="178"/>
      <c r="AM68" s="178"/>
      <c r="AN68" s="178"/>
      <c r="AO68" s="141"/>
      <c r="AP68" s="178"/>
      <c r="AQ68" s="178"/>
      <c r="AR68" s="178"/>
      <c r="AS68" s="141"/>
      <c r="AT68" s="178"/>
      <c r="AU68" s="178"/>
      <c r="AV68" s="178"/>
      <c r="AW68" s="141"/>
      <c r="AX68" s="178"/>
      <c r="AZ68" s="141"/>
      <c r="BA68" s="178"/>
      <c r="BC68" s="141"/>
      <c r="BF68" s="145"/>
      <c r="BG68" s="178"/>
      <c r="BI68" s="141"/>
      <c r="BJ68" s="178"/>
    </row>
  </sheetData>
  <sheetProtection/>
  <printOptions gridLines="1" headings="1"/>
  <pageMargins left="0.1968503937007874" right="0.1968503937007874" top="0.1968503937007874" bottom="0.1968503937007874" header="0.5118110236220472" footer="0.5118110236220472"/>
  <pageSetup fitToWidth="2" fitToHeight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9"/>
  <sheetViews>
    <sheetView zoomScalePageLayoutView="0" workbookViewId="0" topLeftCell="A1">
      <selection activeCell="I6" sqref="I6"/>
    </sheetView>
  </sheetViews>
  <sheetFormatPr defaultColWidth="9.00390625" defaultRowHeight="12.75" outlineLevelRow="1"/>
  <cols>
    <col min="2" max="2" width="27.875" style="0" customWidth="1"/>
    <col min="4" max="4" width="22.125" style="0" customWidth="1"/>
    <col min="5" max="5" width="14.25390625" style="0" customWidth="1"/>
    <col min="7" max="7" width="2.25390625" style="0" customWidth="1"/>
    <col min="8" max="8" width="13.125" style="0" customWidth="1"/>
    <col min="9" max="9" width="11.00390625" style="0" customWidth="1"/>
    <col min="10" max="10" width="2.00390625" style="442" customWidth="1"/>
    <col min="11" max="11" width="13.125" style="0" customWidth="1"/>
    <col min="12" max="12" width="12.00390625" style="0" customWidth="1"/>
    <col min="13" max="13" width="2.00390625" style="442" customWidth="1"/>
    <col min="14" max="14" width="13.125" style="0" customWidth="1"/>
    <col min="15" max="15" width="12.00390625" style="0" customWidth="1"/>
    <col min="16" max="16" width="2.00390625" style="442" customWidth="1"/>
  </cols>
  <sheetData>
    <row r="3" spans="8:16" ht="69.75" customHeight="1">
      <c r="H3" s="485" t="s">
        <v>402</v>
      </c>
      <c r="I3" s="486"/>
      <c r="J3" s="443"/>
      <c r="K3" s="485" t="s">
        <v>403</v>
      </c>
      <c r="L3" s="486"/>
      <c r="M3" s="443"/>
      <c r="N3" s="485" t="s">
        <v>405</v>
      </c>
      <c r="O3" s="486"/>
      <c r="P3" s="443"/>
    </row>
    <row r="4" ht="13.5" thickBot="1"/>
    <row r="5" spans="1:16" s="42" customFormat="1" ht="138.75" customHeight="1" thickBot="1" thickTop="1">
      <c r="A5" s="44" t="s">
        <v>113</v>
      </c>
      <c r="B5" s="45" t="s">
        <v>195</v>
      </c>
      <c r="C5" s="44" t="s">
        <v>196</v>
      </c>
      <c r="D5" s="46" t="s">
        <v>114</v>
      </c>
      <c r="E5" s="46" t="s">
        <v>392</v>
      </c>
      <c r="F5" s="48" t="s">
        <v>160</v>
      </c>
      <c r="H5" s="446" t="s">
        <v>397</v>
      </c>
      <c r="I5" s="447" t="s">
        <v>394</v>
      </c>
      <c r="J5" s="444"/>
      <c r="K5" s="446" t="s">
        <v>393</v>
      </c>
      <c r="L5" s="447" t="s">
        <v>394</v>
      </c>
      <c r="M5" s="444"/>
      <c r="N5" s="446" t="s">
        <v>393</v>
      </c>
      <c r="O5" s="447" t="s">
        <v>394</v>
      </c>
      <c r="P5" s="444"/>
    </row>
    <row r="6" spans="1:16" s="42" customFormat="1" ht="16.5" collapsed="1" thickBot="1" thickTop="1">
      <c r="A6" s="485" t="s">
        <v>182</v>
      </c>
      <c r="B6" s="486"/>
      <c r="C6" s="486"/>
      <c r="D6" s="486"/>
      <c r="E6" s="486"/>
      <c r="F6" s="487"/>
      <c r="J6" s="445"/>
      <c r="M6" s="445"/>
      <c r="P6" s="445"/>
    </row>
    <row r="7" spans="1:16" s="42" customFormat="1" ht="60.75" customHeight="1" outlineLevel="1" thickBot="1">
      <c r="A7" s="49">
        <v>1</v>
      </c>
      <c r="B7" s="50" t="s">
        <v>179</v>
      </c>
      <c r="C7" s="51" t="s">
        <v>115</v>
      </c>
      <c r="D7" s="51" t="s">
        <v>255</v>
      </c>
      <c r="E7" s="51">
        <v>4500</v>
      </c>
      <c r="F7" s="53" t="s">
        <v>126</v>
      </c>
      <c r="H7" s="448" t="s">
        <v>399</v>
      </c>
      <c r="I7" s="449" t="s">
        <v>398</v>
      </c>
      <c r="J7" s="444"/>
      <c r="K7" s="446" t="s">
        <v>401</v>
      </c>
      <c r="L7" s="447" t="s">
        <v>404</v>
      </c>
      <c r="M7" s="444"/>
      <c r="N7" s="446" t="s">
        <v>395</v>
      </c>
      <c r="O7" s="447" t="s">
        <v>400</v>
      </c>
      <c r="P7" s="445"/>
    </row>
    <row r="9" ht="12.75">
      <c r="A9" t="s">
        <v>396</v>
      </c>
    </row>
  </sheetData>
  <sheetProtection/>
  <mergeCells count="4">
    <mergeCell ref="A6:F6"/>
    <mergeCell ref="H3:I3"/>
    <mergeCell ref="K3:L3"/>
    <mergeCell ref="N3:O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"/>
  <sheetViews>
    <sheetView zoomScalePageLayoutView="0" workbookViewId="0" topLeftCell="A3">
      <pane xSplit="15" ySplit="4" topLeftCell="X7" activePane="bottomRight" state="frozen"/>
      <selection pane="topLeft" activeCell="A3" sqref="A3"/>
      <selection pane="topRight" activeCell="N3" sqref="N3"/>
      <selection pane="bottomLeft" activeCell="A5" sqref="A5"/>
      <selection pane="bottomRight" activeCell="I7" sqref="I7"/>
    </sheetView>
  </sheetViews>
  <sheetFormatPr defaultColWidth="9.00390625" defaultRowHeight="12.75"/>
  <cols>
    <col min="1" max="3" width="9.125" style="424" customWidth="1"/>
    <col min="4" max="4" width="8.125" style="424" customWidth="1"/>
    <col min="5" max="5" width="9.125" style="424" customWidth="1"/>
    <col min="6" max="6" width="6.875" style="424" customWidth="1"/>
    <col min="7" max="7" width="9.125" style="425" customWidth="1"/>
    <col min="8" max="9" width="12.125" style="426" customWidth="1"/>
    <col min="10" max="12" width="14.00390625" style="426" bestFit="1" customWidth="1"/>
    <col min="13" max="13" width="13.625" style="424" customWidth="1"/>
    <col min="14" max="14" width="13.125" style="427" bestFit="1" customWidth="1"/>
    <col min="15" max="15" width="12.375" style="424" bestFit="1" customWidth="1"/>
    <col min="16" max="18" width="9.75390625" style="424" customWidth="1"/>
    <col min="19" max="19" width="8.00390625" style="424" customWidth="1"/>
    <col min="20" max="20" width="9.125" style="424" customWidth="1"/>
    <col min="21" max="21" width="4.125" style="424" customWidth="1"/>
    <col min="22" max="22" width="4.625" style="424" customWidth="1"/>
    <col min="23" max="23" width="12.375" style="424" bestFit="1" customWidth="1"/>
    <col min="24" max="24" width="12.875" style="424" customWidth="1"/>
    <col min="25" max="25" width="12.875" style="438" customWidth="1"/>
    <col min="26" max="26" width="12.875" style="439" customWidth="1"/>
    <col min="27" max="27" width="12.875" style="428" customWidth="1"/>
    <col min="28" max="30" width="12.875" style="424" customWidth="1"/>
    <col min="31" max="31" width="14.00390625" style="424" bestFit="1" customWidth="1"/>
    <col min="32" max="32" width="9.125" style="424" customWidth="1"/>
    <col min="33" max="33" width="12.375" style="426" bestFit="1" customWidth="1"/>
    <col min="34" max="34" width="16.875" style="426" bestFit="1" customWidth="1"/>
    <col min="35" max="35" width="1.37890625" style="429" customWidth="1"/>
    <col min="36" max="36" width="12.375" style="426" bestFit="1" customWidth="1"/>
    <col min="37" max="37" width="14.625" style="426" bestFit="1" customWidth="1"/>
    <col min="38" max="38" width="1.37890625" style="429" customWidth="1"/>
    <col min="39" max="39" width="11.375" style="426" bestFit="1" customWidth="1"/>
    <col min="40" max="40" width="14.625" style="426" bestFit="1" customWidth="1"/>
    <col min="41" max="16384" width="9.125" style="424" customWidth="1"/>
  </cols>
  <sheetData>
    <row r="1" spans="4:40" s="350" customFormat="1" ht="25.5">
      <c r="D1" s="351"/>
      <c r="E1" s="351"/>
      <c r="F1" s="352"/>
      <c r="G1" s="353"/>
      <c r="H1" s="354"/>
      <c r="I1" s="354"/>
      <c r="J1" s="354"/>
      <c r="K1" s="355"/>
      <c r="L1" s="355"/>
      <c r="M1" s="351"/>
      <c r="N1" s="356"/>
      <c r="O1" s="351"/>
      <c r="P1" s="351"/>
      <c r="Q1" s="351"/>
      <c r="R1" s="357"/>
      <c r="S1" s="352"/>
      <c r="T1" s="358"/>
      <c r="U1" s="358"/>
      <c r="V1" s="358"/>
      <c r="W1" s="359" t="s">
        <v>266</v>
      </c>
      <c r="X1" s="360"/>
      <c r="Y1" s="430"/>
      <c r="Z1" s="431"/>
      <c r="AA1" s="361"/>
      <c r="AB1" s="360"/>
      <c r="AC1" s="360"/>
      <c r="AD1" s="360"/>
      <c r="AE1" s="362"/>
      <c r="AF1" s="363"/>
      <c r="AG1" s="364" t="s">
        <v>133</v>
      </c>
      <c r="AH1" s="365"/>
      <c r="AI1" s="366"/>
      <c r="AJ1" s="364" t="s">
        <v>133</v>
      </c>
      <c r="AK1" s="365"/>
      <c r="AL1" s="366"/>
      <c r="AM1" s="364" t="s">
        <v>133</v>
      </c>
      <c r="AN1" s="365"/>
    </row>
    <row r="2" spans="4:40" s="350" customFormat="1" ht="12.75">
      <c r="D2" s="367"/>
      <c r="E2" s="367"/>
      <c r="F2" s="368"/>
      <c r="G2" s="369"/>
      <c r="H2" s="370"/>
      <c r="I2" s="370"/>
      <c r="J2" s="370"/>
      <c r="K2" s="371"/>
      <c r="L2" s="371"/>
      <c r="M2" s="367"/>
      <c r="N2" s="372"/>
      <c r="O2" s="367"/>
      <c r="P2" s="367"/>
      <c r="Q2" s="367"/>
      <c r="R2" s="373"/>
      <c r="S2" s="368" t="s">
        <v>154</v>
      </c>
      <c r="T2" s="358"/>
      <c r="U2" s="358"/>
      <c r="V2" s="358"/>
      <c r="W2" s="374" t="s">
        <v>143</v>
      </c>
      <c r="X2" s="360"/>
      <c r="Y2" s="432"/>
      <c r="Z2" s="433"/>
      <c r="AA2" s="375"/>
      <c r="AB2" s="360"/>
      <c r="AC2" s="360"/>
      <c r="AD2" s="360"/>
      <c r="AE2" s="362"/>
      <c r="AF2" s="376"/>
      <c r="AG2" s="358" t="s">
        <v>66</v>
      </c>
      <c r="AH2" s="365" t="s">
        <v>132</v>
      </c>
      <c r="AI2" s="366"/>
      <c r="AJ2" s="358" t="s">
        <v>66</v>
      </c>
      <c r="AK2" s="365" t="s">
        <v>132</v>
      </c>
      <c r="AL2" s="366"/>
      <c r="AM2" s="358" t="s">
        <v>66</v>
      </c>
      <c r="AN2" s="365" t="s">
        <v>132</v>
      </c>
    </row>
    <row r="3" spans="1:40" s="350" customFormat="1" ht="51">
      <c r="A3" s="377"/>
      <c r="B3" s="377"/>
      <c r="C3" s="377"/>
      <c r="D3" s="351"/>
      <c r="E3" s="351"/>
      <c r="F3" s="378"/>
      <c r="G3" s="379"/>
      <c r="H3" s="380"/>
      <c r="I3" s="380"/>
      <c r="J3" s="380"/>
      <c r="K3" s="355"/>
      <c r="L3" s="355"/>
      <c r="M3" s="351"/>
      <c r="N3" s="356"/>
      <c r="O3" s="351"/>
      <c r="P3" s="351"/>
      <c r="Q3" s="351"/>
      <c r="R3" s="351"/>
      <c r="S3" s="378"/>
      <c r="T3" s="381"/>
      <c r="U3" s="381"/>
      <c r="V3" s="381"/>
      <c r="W3" s="382"/>
      <c r="X3" s="383"/>
      <c r="Y3" s="434"/>
      <c r="Z3" s="435"/>
      <c r="AA3" s="361"/>
      <c r="AB3" s="384"/>
      <c r="AC3" s="384"/>
      <c r="AD3" s="384"/>
      <c r="AE3" s="385"/>
      <c r="AF3" s="386"/>
      <c r="AG3" s="381" t="s">
        <v>343</v>
      </c>
      <c r="AH3" s="387"/>
      <c r="AI3" s="388"/>
      <c r="AJ3" s="381" t="s">
        <v>347</v>
      </c>
      <c r="AK3" s="387"/>
      <c r="AL3" s="388"/>
      <c r="AM3" s="381" t="s">
        <v>346</v>
      </c>
      <c r="AN3" s="387"/>
    </row>
    <row r="4" spans="1:40" s="350" customFormat="1" ht="255">
      <c r="A4" s="377"/>
      <c r="B4" s="377"/>
      <c r="C4" s="377"/>
      <c r="D4" s="389"/>
      <c r="E4" s="389"/>
      <c r="F4" s="389"/>
      <c r="G4" s="390" t="s">
        <v>309</v>
      </c>
      <c r="H4" s="391" t="s">
        <v>328</v>
      </c>
      <c r="I4" s="391"/>
      <c r="J4" s="391" t="s">
        <v>311</v>
      </c>
      <c r="K4" s="391" t="s">
        <v>310</v>
      </c>
      <c r="L4" s="391" t="s">
        <v>313</v>
      </c>
      <c r="M4" s="389" t="s">
        <v>314</v>
      </c>
      <c r="N4" s="392" t="s">
        <v>315</v>
      </c>
      <c r="O4" s="389" t="s">
        <v>316</v>
      </c>
      <c r="P4" s="389" t="s">
        <v>127</v>
      </c>
      <c r="Q4" s="389" t="s">
        <v>130</v>
      </c>
      <c r="R4" s="389" t="s">
        <v>129</v>
      </c>
      <c r="S4" s="389" t="s">
        <v>130</v>
      </c>
      <c r="T4" s="381"/>
      <c r="U4" s="381" t="s">
        <v>139</v>
      </c>
      <c r="V4" s="381" t="s">
        <v>141</v>
      </c>
      <c r="W4" s="382" t="s">
        <v>317</v>
      </c>
      <c r="X4" s="383" t="s">
        <v>318</v>
      </c>
      <c r="Y4" s="434" t="s">
        <v>319</v>
      </c>
      <c r="Z4" s="435" t="s">
        <v>320</v>
      </c>
      <c r="AA4" s="361" t="s">
        <v>321</v>
      </c>
      <c r="AB4" s="384" t="s">
        <v>322</v>
      </c>
      <c r="AC4" s="384" t="s">
        <v>329</v>
      </c>
      <c r="AD4" s="384" t="s">
        <v>330</v>
      </c>
      <c r="AE4" s="385" t="s">
        <v>352</v>
      </c>
      <c r="AF4" s="393"/>
      <c r="AG4" s="381" t="s">
        <v>344</v>
      </c>
      <c r="AH4" s="387" t="s">
        <v>345</v>
      </c>
      <c r="AI4" s="388"/>
      <c r="AJ4" s="381" t="s">
        <v>344</v>
      </c>
      <c r="AK4" s="387" t="s">
        <v>345</v>
      </c>
      <c r="AL4" s="388"/>
      <c r="AM4" s="381" t="s">
        <v>344</v>
      </c>
      <c r="AN4" s="387" t="s">
        <v>345</v>
      </c>
    </row>
    <row r="5" spans="1:40" s="350" customFormat="1" ht="12.75">
      <c r="A5" s="377"/>
      <c r="B5" s="377"/>
      <c r="C5" s="377"/>
      <c r="D5" s="351"/>
      <c r="E5" s="351"/>
      <c r="F5" s="351"/>
      <c r="G5" s="394"/>
      <c r="H5" s="394"/>
      <c r="I5" s="394"/>
      <c r="J5" s="394"/>
      <c r="K5" s="394"/>
      <c r="L5" s="394"/>
      <c r="M5" s="394"/>
      <c r="N5" s="356"/>
      <c r="O5" s="394"/>
      <c r="P5" s="394"/>
      <c r="Q5" s="394"/>
      <c r="R5" s="351"/>
      <c r="S5" s="351"/>
      <c r="T5" s="381"/>
      <c r="U5" s="381"/>
      <c r="V5" s="381"/>
      <c r="W5" s="382"/>
      <c r="X5" s="383"/>
      <c r="Y5" s="434"/>
      <c r="Z5" s="435"/>
      <c r="AA5" s="361"/>
      <c r="AB5" s="384"/>
      <c r="AC5" s="384"/>
      <c r="AD5" s="384"/>
      <c r="AE5" s="395">
        <f>(AE6-N6)/N6</f>
        <v>0.2505620270206217</v>
      </c>
      <c r="AF5" s="393"/>
      <c r="AG5" s="381"/>
      <c r="AH5" s="387"/>
      <c r="AI5" s="388"/>
      <c r="AJ5" s="381"/>
      <c r="AK5" s="387"/>
      <c r="AL5" s="388"/>
      <c r="AM5" s="381"/>
      <c r="AN5" s="387"/>
    </row>
    <row r="6" spans="1:40" s="350" customFormat="1" ht="12.75">
      <c r="A6" s="377"/>
      <c r="B6" s="377"/>
      <c r="C6" s="377"/>
      <c r="D6" s="351"/>
      <c r="E6" s="351"/>
      <c r="F6" s="351"/>
      <c r="G6" s="394">
        <f>SUM(G7:G14)</f>
        <v>10.409</v>
      </c>
      <c r="H6" s="394"/>
      <c r="I6" s="394"/>
      <c r="J6" s="394">
        <f aca="true" t="shared" si="0" ref="J6:Q6">SUM(J7:J14)</f>
        <v>511048.21</v>
      </c>
      <c r="K6" s="394">
        <f t="shared" si="0"/>
        <v>485923.987109651</v>
      </c>
      <c r="L6" s="394">
        <f t="shared" si="0"/>
        <v>411799.98907597543</v>
      </c>
      <c r="M6" s="394">
        <f>SUM(M7:M17)</f>
        <v>44849.44</v>
      </c>
      <c r="N6" s="356">
        <f t="shared" si="0"/>
        <v>555897.6499999999</v>
      </c>
      <c r="O6" s="394"/>
      <c r="P6" s="394">
        <f t="shared" si="0"/>
        <v>0</v>
      </c>
      <c r="Q6" s="394">
        <f t="shared" si="0"/>
        <v>0</v>
      </c>
      <c r="R6" s="351">
        <v>25</v>
      </c>
      <c r="S6" s="351"/>
      <c r="T6" s="381"/>
      <c r="U6" s="381"/>
      <c r="V6" s="381"/>
      <c r="W6" s="382"/>
      <c r="X6" s="383"/>
      <c r="Y6" s="434"/>
      <c r="Z6" s="435"/>
      <c r="AA6" s="361"/>
      <c r="AB6" s="384"/>
      <c r="AC6" s="384"/>
      <c r="AD6" s="384"/>
      <c r="AE6" s="394">
        <f>SUM(AE7:AE14)</f>
        <v>695184.492</v>
      </c>
      <c r="AF6" s="393"/>
      <c r="AG6" s="381">
        <v>3</v>
      </c>
      <c r="AH6" s="387"/>
      <c r="AI6" s="388"/>
      <c r="AJ6" s="381">
        <v>5</v>
      </c>
      <c r="AK6" s="387"/>
      <c r="AL6" s="388"/>
      <c r="AM6" s="381">
        <v>10</v>
      </c>
      <c r="AN6" s="387"/>
    </row>
    <row r="7" spans="1:40" s="350" customFormat="1" ht="89.25">
      <c r="A7" s="396" t="s">
        <v>308</v>
      </c>
      <c r="B7" s="396" t="s">
        <v>323</v>
      </c>
      <c r="C7" s="397" t="s">
        <v>236</v>
      </c>
      <c r="D7" s="397"/>
      <c r="E7" s="397" t="s">
        <v>237</v>
      </c>
      <c r="F7" s="397" t="s">
        <v>238</v>
      </c>
      <c r="G7" s="398">
        <v>2</v>
      </c>
      <c r="H7" s="381"/>
      <c r="I7" s="381" t="s">
        <v>353</v>
      </c>
      <c r="J7" s="381">
        <v>83780</v>
      </c>
      <c r="K7" s="399">
        <f>J7/G7</f>
        <v>41890</v>
      </c>
      <c r="L7" s="399">
        <f>K7/1.18</f>
        <v>35500</v>
      </c>
      <c r="M7" s="400">
        <f>44849.44/10.95*(G7+0.541/10.409*G7)</f>
        <v>8617.434912095303</v>
      </c>
      <c r="N7" s="401">
        <f aca="true" t="shared" si="1" ref="N7:N14">M7+J7</f>
        <v>92397.4349120953</v>
      </c>
      <c r="O7" s="400">
        <f>N7/G7</f>
        <v>46198.71745604765</v>
      </c>
      <c r="P7" s="402"/>
      <c r="Q7" s="402"/>
      <c r="R7" s="402">
        <f aca="true" t="shared" si="2" ref="R7:R14">R$6</f>
        <v>25</v>
      </c>
      <c r="S7" s="402"/>
      <c r="T7" s="399"/>
      <c r="U7" s="399"/>
      <c r="V7" s="399"/>
      <c r="W7" s="403">
        <f>O7/100*(100+R7)</f>
        <v>57748.39682005956</v>
      </c>
      <c r="X7" s="404">
        <f>W7/1.18</f>
        <v>48939.31933903353</v>
      </c>
      <c r="Y7" s="434">
        <v>48950</v>
      </c>
      <c r="Z7" s="435">
        <f>Y7*1.18</f>
        <v>57761</v>
      </c>
      <c r="AA7" s="405">
        <f>Y7/1000</f>
        <v>48.95</v>
      </c>
      <c r="AB7" s="406">
        <f>Z7/1000</f>
        <v>57.761</v>
      </c>
      <c r="AC7" s="406"/>
      <c r="AD7" s="406"/>
      <c r="AE7" s="385">
        <f aca="true" t="shared" si="3" ref="AE7:AE14">Z7*G7</f>
        <v>115522</v>
      </c>
      <c r="AF7" s="407"/>
      <c r="AG7" s="381">
        <f>$Y7/100*(100-AG$6)</f>
        <v>47481.5</v>
      </c>
      <c r="AH7" s="387">
        <f>AG7*1.18</f>
        <v>56028.17</v>
      </c>
      <c r="AI7" s="388"/>
      <c r="AJ7" s="381">
        <f>$Y7/100*(100-AJ$6)</f>
        <v>46502.5</v>
      </c>
      <c r="AK7" s="387">
        <f>AJ7*1.18</f>
        <v>54872.95</v>
      </c>
      <c r="AL7" s="388"/>
      <c r="AM7" s="381">
        <f>$Y7/100*(100-AM$6)</f>
        <v>44055</v>
      </c>
      <c r="AN7" s="387">
        <f>AM7*1.18</f>
        <v>51984.899999999994</v>
      </c>
    </row>
    <row r="8" spans="1:40" s="350" customFormat="1" ht="51">
      <c r="A8" s="396" t="s">
        <v>239</v>
      </c>
      <c r="B8" s="396" t="s">
        <v>324</v>
      </c>
      <c r="C8" s="397" t="s">
        <v>240</v>
      </c>
      <c r="D8" s="397"/>
      <c r="E8" s="397" t="s">
        <v>237</v>
      </c>
      <c r="F8" s="397" t="s">
        <v>238</v>
      </c>
      <c r="G8" s="398">
        <v>5.5</v>
      </c>
      <c r="H8" s="381"/>
      <c r="I8" s="381"/>
      <c r="J8" s="381">
        <f>150745.01+86140</f>
        <v>236885.01</v>
      </c>
      <c r="K8" s="399">
        <f aca="true" t="shared" si="4" ref="K8:K14">J8/G8</f>
        <v>43070.00181818182</v>
      </c>
      <c r="L8" s="399">
        <f aca="true" t="shared" si="5" ref="L8:L14">K8/1.18</f>
        <v>36500.001540832054</v>
      </c>
      <c r="M8" s="400">
        <f aca="true" t="shared" si="6" ref="M8:M14">44849.44/10.95*(G8+0.541/10.409*G8)</f>
        <v>23697.946008262086</v>
      </c>
      <c r="N8" s="401">
        <f t="shared" si="1"/>
        <v>260582.9560082621</v>
      </c>
      <c r="O8" s="400">
        <f aca="true" t="shared" si="7" ref="O8:O14">N8/G8</f>
        <v>47378.71927422947</v>
      </c>
      <c r="P8" s="402"/>
      <c r="Q8" s="402"/>
      <c r="R8" s="402">
        <f t="shared" si="2"/>
        <v>25</v>
      </c>
      <c r="S8" s="402"/>
      <c r="T8" s="399"/>
      <c r="U8" s="399"/>
      <c r="V8" s="399"/>
      <c r="W8" s="403">
        <f aca="true" t="shared" si="8" ref="W8:W14">O8/100*(100+R8)</f>
        <v>59223.39909278684</v>
      </c>
      <c r="X8" s="404">
        <f>W8/1.18</f>
        <v>50189.3212650736</v>
      </c>
      <c r="Y8" s="434">
        <v>50200</v>
      </c>
      <c r="Z8" s="435">
        <f aca="true" t="shared" si="9" ref="Z8:Z14">Y8*1.18</f>
        <v>59236</v>
      </c>
      <c r="AA8" s="405">
        <f aca="true" t="shared" si="10" ref="AA8:AA14">Y8/1000</f>
        <v>50.2</v>
      </c>
      <c r="AB8" s="406">
        <f aca="true" t="shared" si="11" ref="AB8:AB14">Z8/1000</f>
        <v>59.236</v>
      </c>
      <c r="AC8" s="406"/>
      <c r="AD8" s="406"/>
      <c r="AE8" s="385">
        <f t="shared" si="3"/>
        <v>325798</v>
      </c>
      <c r="AF8" s="407"/>
      <c r="AG8" s="381">
        <f aca="true" t="shared" si="12" ref="AG8:AG14">$Y8/100*(100-AG$6)</f>
        <v>48694</v>
      </c>
      <c r="AH8" s="387">
        <f aca="true" t="shared" si="13" ref="AH8:AH14">AG8*1.18</f>
        <v>57458.92</v>
      </c>
      <c r="AI8" s="388"/>
      <c r="AJ8" s="381">
        <f aca="true" t="shared" si="14" ref="AJ8:AJ14">$Y8/100*(100-AJ$6)</f>
        <v>47690</v>
      </c>
      <c r="AK8" s="387">
        <f aca="true" t="shared" si="15" ref="AK8:AK14">AJ8*1.18</f>
        <v>56274.2</v>
      </c>
      <c r="AL8" s="388"/>
      <c r="AM8" s="381">
        <f aca="true" t="shared" si="16" ref="AM8:AM14">$Y8/100*(100-AM$6)</f>
        <v>45180</v>
      </c>
      <c r="AN8" s="387">
        <f aca="true" t="shared" si="17" ref="AN8:AN14">AM8*1.18</f>
        <v>53312.399999999994</v>
      </c>
    </row>
    <row r="9" spans="1:40" s="350" customFormat="1" ht="51">
      <c r="A9" s="396" t="s">
        <v>241</v>
      </c>
      <c r="B9" s="396" t="s">
        <v>325</v>
      </c>
      <c r="C9" s="397" t="s">
        <v>242</v>
      </c>
      <c r="D9" s="397"/>
      <c r="E9" s="397" t="s">
        <v>237</v>
      </c>
      <c r="F9" s="397" t="s">
        <v>238</v>
      </c>
      <c r="G9" s="398">
        <v>1</v>
      </c>
      <c r="H9" s="381"/>
      <c r="I9" s="381" t="s">
        <v>339</v>
      </c>
      <c r="J9" s="381">
        <v>64192</v>
      </c>
      <c r="K9" s="399">
        <f t="shared" si="4"/>
        <v>64192</v>
      </c>
      <c r="L9" s="399">
        <f t="shared" si="5"/>
        <v>54400</v>
      </c>
      <c r="M9" s="400">
        <f t="shared" si="6"/>
        <v>4308.7174560476515</v>
      </c>
      <c r="N9" s="401">
        <f t="shared" si="1"/>
        <v>68500.71745604766</v>
      </c>
      <c r="O9" s="400">
        <f t="shared" si="7"/>
        <v>68500.71745604766</v>
      </c>
      <c r="P9" s="402"/>
      <c r="Q9" s="402"/>
      <c r="R9" s="402">
        <f t="shared" si="2"/>
        <v>25</v>
      </c>
      <c r="S9" s="402"/>
      <c r="T9" s="399"/>
      <c r="U9" s="399"/>
      <c r="V9" s="399"/>
      <c r="W9" s="403">
        <f t="shared" si="8"/>
        <v>85625.89682005957</v>
      </c>
      <c r="X9" s="404">
        <f aca="true" t="shared" si="18" ref="X9:X14">W9/1.18</f>
        <v>72564.31933903354</v>
      </c>
      <c r="Y9" s="434">
        <v>72500</v>
      </c>
      <c r="Z9" s="435">
        <f t="shared" si="9"/>
        <v>85550</v>
      </c>
      <c r="AA9" s="405">
        <f t="shared" si="10"/>
        <v>72.5</v>
      </c>
      <c r="AB9" s="406">
        <f t="shared" si="11"/>
        <v>85.55</v>
      </c>
      <c r="AC9" s="408">
        <v>978.75</v>
      </c>
      <c r="AD9" s="408">
        <v>1154.925</v>
      </c>
      <c r="AE9" s="385">
        <f t="shared" si="3"/>
        <v>85550</v>
      </c>
      <c r="AF9" s="407"/>
      <c r="AG9" s="381">
        <f t="shared" si="12"/>
        <v>70325</v>
      </c>
      <c r="AH9" s="387">
        <f t="shared" si="13"/>
        <v>82983.5</v>
      </c>
      <c r="AI9" s="388"/>
      <c r="AJ9" s="381">
        <f t="shared" si="14"/>
        <v>68875</v>
      </c>
      <c r="AK9" s="387">
        <f t="shared" si="15"/>
        <v>81272.5</v>
      </c>
      <c r="AL9" s="388"/>
      <c r="AM9" s="381">
        <f t="shared" si="16"/>
        <v>65250</v>
      </c>
      <c r="AN9" s="387">
        <f t="shared" si="17"/>
        <v>76995</v>
      </c>
    </row>
    <row r="10" spans="1:40" s="350" customFormat="1" ht="114.75">
      <c r="A10" s="396" t="s">
        <v>243</v>
      </c>
      <c r="B10" s="396" t="s">
        <v>326</v>
      </c>
      <c r="C10" s="397" t="s">
        <v>244</v>
      </c>
      <c r="D10" s="397" t="s">
        <v>312</v>
      </c>
      <c r="E10" s="397" t="s">
        <v>237</v>
      </c>
      <c r="F10" s="397" t="s">
        <v>245</v>
      </c>
      <c r="G10" s="398">
        <v>0.326</v>
      </c>
      <c r="H10" s="381">
        <v>100</v>
      </c>
      <c r="I10" s="381" t="s">
        <v>340</v>
      </c>
      <c r="J10" s="381">
        <v>19041.66</v>
      </c>
      <c r="K10" s="399">
        <f t="shared" si="4"/>
        <v>58410</v>
      </c>
      <c r="L10" s="399">
        <f t="shared" si="5"/>
        <v>49500</v>
      </c>
      <c r="M10" s="400">
        <f t="shared" si="6"/>
        <v>1404.6418906715346</v>
      </c>
      <c r="N10" s="401">
        <f t="shared" si="1"/>
        <v>20446.301890671533</v>
      </c>
      <c r="O10" s="400">
        <f t="shared" si="7"/>
        <v>62718.71745604765</v>
      </c>
      <c r="P10" s="402"/>
      <c r="Q10" s="402"/>
      <c r="R10" s="402">
        <f t="shared" si="2"/>
        <v>25</v>
      </c>
      <c r="S10" s="402"/>
      <c r="T10" s="399"/>
      <c r="U10" s="399"/>
      <c r="V10" s="399"/>
      <c r="W10" s="403">
        <f t="shared" si="8"/>
        <v>78398.39682005956</v>
      </c>
      <c r="X10" s="404">
        <f t="shared" si="18"/>
        <v>66439.31933903352</v>
      </c>
      <c r="Y10" s="434">
        <f>25960/G10/1.18</f>
        <v>67484.66257668711</v>
      </c>
      <c r="Z10" s="435">
        <f t="shared" si="9"/>
        <v>79631.9018404908</v>
      </c>
      <c r="AA10" s="405">
        <f t="shared" si="10"/>
        <v>67.48466257668711</v>
      </c>
      <c r="AB10" s="406">
        <f t="shared" si="11"/>
        <v>79.6319018404908</v>
      </c>
      <c r="AC10" s="406">
        <f>Y10*G10/H10</f>
        <v>220</v>
      </c>
      <c r="AD10" s="406">
        <f>AC10*1.18</f>
        <v>259.59999999999997</v>
      </c>
      <c r="AE10" s="385">
        <f t="shared" si="3"/>
        <v>25960</v>
      </c>
      <c r="AF10" s="407"/>
      <c r="AG10" s="381">
        <f t="shared" si="12"/>
        <v>65460.122699386506</v>
      </c>
      <c r="AH10" s="387">
        <f t="shared" si="13"/>
        <v>77242.94478527608</v>
      </c>
      <c r="AI10" s="388"/>
      <c r="AJ10" s="381">
        <f t="shared" si="14"/>
        <v>64110.42944785276</v>
      </c>
      <c r="AK10" s="387">
        <f t="shared" si="15"/>
        <v>75650.30674846625</v>
      </c>
      <c r="AL10" s="388"/>
      <c r="AM10" s="381">
        <f t="shared" si="16"/>
        <v>60736.1963190184</v>
      </c>
      <c r="AN10" s="387">
        <f t="shared" si="17"/>
        <v>71668.71165644171</v>
      </c>
    </row>
    <row r="11" spans="1:40" s="350" customFormat="1" ht="114.75">
      <c r="A11" s="396" t="s">
        <v>243</v>
      </c>
      <c r="B11" s="396" t="s">
        <v>326</v>
      </c>
      <c r="C11" s="397" t="s">
        <v>246</v>
      </c>
      <c r="D11" s="397"/>
      <c r="E11" s="397" t="s">
        <v>247</v>
      </c>
      <c r="F11" s="397" t="s">
        <v>245</v>
      </c>
      <c r="G11" s="398">
        <v>0.281</v>
      </c>
      <c r="H11" s="381">
        <v>13</v>
      </c>
      <c r="I11" s="381" t="s">
        <v>338</v>
      </c>
      <c r="J11" s="381">
        <v>14887.94</v>
      </c>
      <c r="K11" s="399">
        <f t="shared" si="4"/>
        <v>52981.99288256228</v>
      </c>
      <c r="L11" s="399">
        <f t="shared" si="5"/>
        <v>44899.99396827312</v>
      </c>
      <c r="M11" s="400">
        <f t="shared" si="6"/>
        <v>1210.7496051493902</v>
      </c>
      <c r="N11" s="401">
        <f t="shared" si="1"/>
        <v>16098.689605149391</v>
      </c>
      <c r="O11" s="400">
        <f t="shared" si="7"/>
        <v>57290.710338609926</v>
      </c>
      <c r="P11" s="402"/>
      <c r="Q11" s="402"/>
      <c r="R11" s="402">
        <f t="shared" si="2"/>
        <v>25</v>
      </c>
      <c r="S11" s="402"/>
      <c r="T11" s="399"/>
      <c r="U11" s="399"/>
      <c r="V11" s="399"/>
      <c r="W11" s="403">
        <f t="shared" si="8"/>
        <v>71613.3879232624</v>
      </c>
      <c r="X11" s="404">
        <f t="shared" si="18"/>
        <v>60689.31179937492</v>
      </c>
      <c r="Y11" s="434">
        <f>19942/G11/1.18</f>
        <v>60142.3487544484</v>
      </c>
      <c r="Z11" s="435">
        <f t="shared" si="9"/>
        <v>70967.97153024911</v>
      </c>
      <c r="AA11" s="405">
        <f t="shared" si="10"/>
        <v>60.1423487544484</v>
      </c>
      <c r="AB11" s="406">
        <f t="shared" si="11"/>
        <v>70.96797153024912</v>
      </c>
      <c r="AC11" s="406">
        <f>Y11*G11/H11</f>
        <v>1300.0000000000002</v>
      </c>
      <c r="AD11" s="406">
        <f>AC11*1.18</f>
        <v>1534.0000000000002</v>
      </c>
      <c r="AE11" s="385">
        <f t="shared" si="3"/>
        <v>19942</v>
      </c>
      <c r="AF11" s="407"/>
      <c r="AG11" s="381">
        <f t="shared" si="12"/>
        <v>58338.07829181495</v>
      </c>
      <c r="AH11" s="387">
        <f t="shared" si="13"/>
        <v>68838.93238434164</v>
      </c>
      <c r="AI11" s="388"/>
      <c r="AJ11" s="381">
        <f t="shared" si="14"/>
        <v>57135.231316725985</v>
      </c>
      <c r="AK11" s="387">
        <f t="shared" si="15"/>
        <v>67419.57295373666</v>
      </c>
      <c r="AL11" s="388"/>
      <c r="AM11" s="381">
        <f t="shared" si="16"/>
        <v>54128.11387900356</v>
      </c>
      <c r="AN11" s="387">
        <f t="shared" si="17"/>
        <v>63871.1743772242</v>
      </c>
    </row>
    <row r="12" spans="1:40" s="350" customFormat="1" ht="114.75">
      <c r="A12" s="396" t="s">
        <v>243</v>
      </c>
      <c r="B12" s="396" t="s">
        <v>326</v>
      </c>
      <c r="C12" s="397" t="s">
        <v>248</v>
      </c>
      <c r="D12" s="397" t="s">
        <v>312</v>
      </c>
      <c r="E12" s="397" t="s">
        <v>249</v>
      </c>
      <c r="F12" s="397" t="s">
        <v>245</v>
      </c>
      <c r="G12" s="398">
        <v>0.624</v>
      </c>
      <c r="H12" s="381">
        <v>130</v>
      </c>
      <c r="I12" s="381" t="s">
        <v>337</v>
      </c>
      <c r="J12" s="381">
        <v>29158.27</v>
      </c>
      <c r="K12" s="399">
        <f t="shared" si="4"/>
        <v>46727.9967948718</v>
      </c>
      <c r="L12" s="399">
        <f t="shared" si="5"/>
        <v>39599.997283789664</v>
      </c>
      <c r="M12" s="400">
        <f t="shared" si="6"/>
        <v>2688.6396925737345</v>
      </c>
      <c r="N12" s="401">
        <f t="shared" si="1"/>
        <v>31846.909692573736</v>
      </c>
      <c r="O12" s="400">
        <f t="shared" si="7"/>
        <v>51036.714250919445</v>
      </c>
      <c r="P12" s="402"/>
      <c r="Q12" s="402"/>
      <c r="R12" s="402">
        <f t="shared" si="2"/>
        <v>25</v>
      </c>
      <c r="S12" s="402"/>
      <c r="T12" s="399"/>
      <c r="U12" s="399"/>
      <c r="V12" s="399"/>
      <c r="W12" s="403">
        <f t="shared" si="8"/>
        <v>63795.89281364931</v>
      </c>
      <c r="X12" s="404">
        <f t="shared" si="18"/>
        <v>54064.315943770605</v>
      </c>
      <c r="Y12" s="434">
        <f>39884/G12/1.18</f>
        <v>54166.666666666664</v>
      </c>
      <c r="Z12" s="435">
        <f>Y12*1.18</f>
        <v>63916.66666666666</v>
      </c>
      <c r="AA12" s="405">
        <f t="shared" si="10"/>
        <v>54.166666666666664</v>
      </c>
      <c r="AB12" s="406">
        <f t="shared" si="11"/>
        <v>63.91666666666666</v>
      </c>
      <c r="AC12" s="406">
        <f>Y12*G12/H12</f>
        <v>260</v>
      </c>
      <c r="AD12" s="406">
        <f>AC12*1.18</f>
        <v>306.8</v>
      </c>
      <c r="AE12" s="385">
        <f t="shared" si="3"/>
        <v>39883.99999999999</v>
      </c>
      <c r="AF12" s="407"/>
      <c r="AG12" s="381">
        <f t="shared" si="12"/>
        <v>52541.666666666664</v>
      </c>
      <c r="AH12" s="387">
        <f t="shared" si="13"/>
        <v>61999.16666666666</v>
      </c>
      <c r="AI12" s="388"/>
      <c r="AJ12" s="381">
        <f t="shared" si="14"/>
        <v>51458.33333333333</v>
      </c>
      <c r="AK12" s="387">
        <f t="shared" si="15"/>
        <v>60720.83333333332</v>
      </c>
      <c r="AL12" s="388"/>
      <c r="AM12" s="381">
        <f t="shared" si="16"/>
        <v>48750</v>
      </c>
      <c r="AN12" s="387">
        <f t="shared" si="17"/>
        <v>57525</v>
      </c>
    </row>
    <row r="13" spans="1:40" s="350" customFormat="1" ht="89.25">
      <c r="A13" s="396" t="s">
        <v>252</v>
      </c>
      <c r="B13" s="396" t="s">
        <v>327</v>
      </c>
      <c r="C13" s="397" t="s">
        <v>250</v>
      </c>
      <c r="D13" s="397"/>
      <c r="E13" s="397" t="s">
        <v>251</v>
      </c>
      <c r="F13" s="397" t="s">
        <v>238</v>
      </c>
      <c r="G13" s="398">
        <v>0.222</v>
      </c>
      <c r="H13" s="381" t="s">
        <v>333</v>
      </c>
      <c r="I13" s="381" t="s">
        <v>333</v>
      </c>
      <c r="J13" s="381">
        <v>17420.34</v>
      </c>
      <c r="K13" s="399">
        <f t="shared" si="4"/>
        <v>78470</v>
      </c>
      <c r="L13" s="399">
        <f t="shared" si="5"/>
        <v>66500</v>
      </c>
      <c r="M13" s="400">
        <f t="shared" si="6"/>
        <v>956.5352752425787</v>
      </c>
      <c r="N13" s="401">
        <f t="shared" si="1"/>
        <v>18376.87527524258</v>
      </c>
      <c r="O13" s="400">
        <f t="shared" si="7"/>
        <v>82778.71745604766</v>
      </c>
      <c r="P13" s="402"/>
      <c r="Q13" s="402"/>
      <c r="R13" s="402">
        <f t="shared" si="2"/>
        <v>25</v>
      </c>
      <c r="S13" s="402"/>
      <c r="T13" s="399"/>
      <c r="U13" s="399"/>
      <c r="V13" s="399"/>
      <c r="W13" s="403">
        <f t="shared" si="8"/>
        <v>103473.39682005957</v>
      </c>
      <c r="X13" s="404">
        <f t="shared" si="18"/>
        <v>87689.31933903354</v>
      </c>
      <c r="Y13" s="434">
        <v>87700</v>
      </c>
      <c r="Z13" s="435">
        <f t="shared" si="9"/>
        <v>103486</v>
      </c>
      <c r="AA13" s="405">
        <f t="shared" si="10"/>
        <v>87.7</v>
      </c>
      <c r="AB13" s="406">
        <f t="shared" si="11"/>
        <v>103.486</v>
      </c>
      <c r="AC13" s="406" t="s">
        <v>332</v>
      </c>
      <c r="AD13" s="406" t="s">
        <v>331</v>
      </c>
      <c r="AE13" s="385">
        <f t="shared" si="3"/>
        <v>22973.892</v>
      </c>
      <c r="AF13" s="407"/>
      <c r="AG13" s="381">
        <f t="shared" si="12"/>
        <v>85069</v>
      </c>
      <c r="AH13" s="387">
        <f t="shared" si="13"/>
        <v>100381.42</v>
      </c>
      <c r="AI13" s="388"/>
      <c r="AJ13" s="381">
        <f t="shared" si="14"/>
        <v>83315</v>
      </c>
      <c r="AK13" s="387">
        <f t="shared" si="15"/>
        <v>98311.7</v>
      </c>
      <c r="AL13" s="388"/>
      <c r="AM13" s="381">
        <f t="shared" si="16"/>
        <v>78930</v>
      </c>
      <c r="AN13" s="387">
        <f t="shared" si="17"/>
        <v>93137.4</v>
      </c>
    </row>
    <row r="14" spans="1:40" s="350" customFormat="1" ht="89.25">
      <c r="A14" s="396" t="s">
        <v>252</v>
      </c>
      <c r="B14" s="396" t="s">
        <v>327</v>
      </c>
      <c r="C14" s="397" t="s">
        <v>253</v>
      </c>
      <c r="D14" s="397" t="s">
        <v>334</v>
      </c>
      <c r="E14" s="397" t="s">
        <v>251</v>
      </c>
      <c r="F14" s="397" t="s">
        <v>335</v>
      </c>
      <c r="G14" s="398">
        <v>0.456</v>
      </c>
      <c r="H14" s="381">
        <v>103</v>
      </c>
      <c r="I14" s="381" t="s">
        <v>336</v>
      </c>
      <c r="J14" s="381">
        <v>45682.99</v>
      </c>
      <c r="K14" s="399">
        <f t="shared" si="4"/>
        <v>100181.99561403508</v>
      </c>
      <c r="L14" s="399">
        <f t="shared" si="5"/>
        <v>84899.99628308059</v>
      </c>
      <c r="M14" s="400">
        <f t="shared" si="6"/>
        <v>1964.775159957729</v>
      </c>
      <c r="N14" s="401">
        <f t="shared" si="1"/>
        <v>47647.76515995773</v>
      </c>
      <c r="O14" s="400">
        <f t="shared" si="7"/>
        <v>104490.71307008274</v>
      </c>
      <c r="P14" s="402"/>
      <c r="Q14" s="402"/>
      <c r="R14" s="402">
        <f t="shared" si="2"/>
        <v>25</v>
      </c>
      <c r="S14" s="402"/>
      <c r="T14" s="399"/>
      <c r="U14" s="399"/>
      <c r="V14" s="399"/>
      <c r="W14" s="403">
        <f t="shared" si="8"/>
        <v>130613.39133760342</v>
      </c>
      <c r="X14" s="404">
        <f t="shared" si="18"/>
        <v>110689.31469288426</v>
      </c>
      <c r="Y14" s="434">
        <f>59554.6/G14/1.18</f>
        <v>110679.82456140351</v>
      </c>
      <c r="Z14" s="435">
        <f t="shared" si="9"/>
        <v>130602.19298245614</v>
      </c>
      <c r="AA14" s="405">
        <f t="shared" si="10"/>
        <v>110.6798245614035</v>
      </c>
      <c r="AB14" s="406">
        <f t="shared" si="11"/>
        <v>130.60219298245613</v>
      </c>
      <c r="AC14" s="406">
        <f>Y14*G14/H14</f>
        <v>490</v>
      </c>
      <c r="AD14" s="406">
        <f>AC14*1.18</f>
        <v>578.1999999999999</v>
      </c>
      <c r="AE14" s="385">
        <f t="shared" si="3"/>
        <v>59554.6</v>
      </c>
      <c r="AF14" s="407"/>
      <c r="AG14" s="381">
        <f t="shared" si="12"/>
        <v>107359.4298245614</v>
      </c>
      <c r="AH14" s="387">
        <f t="shared" si="13"/>
        <v>126684.12719298246</v>
      </c>
      <c r="AI14" s="388"/>
      <c r="AJ14" s="381">
        <f t="shared" si="14"/>
        <v>105145.83333333333</v>
      </c>
      <c r="AK14" s="387">
        <f t="shared" si="15"/>
        <v>124072.08333333331</v>
      </c>
      <c r="AL14" s="388"/>
      <c r="AM14" s="381">
        <f t="shared" si="16"/>
        <v>99611.84210526316</v>
      </c>
      <c r="AN14" s="387">
        <f t="shared" si="17"/>
        <v>117541.97368421052</v>
      </c>
    </row>
    <row r="15" spans="1:40" s="350" customFormat="1" ht="12.75">
      <c r="A15" s="409"/>
      <c r="B15" s="409"/>
      <c r="C15" s="409"/>
      <c r="D15" s="410"/>
      <c r="E15" s="410"/>
      <c r="F15" s="411"/>
      <c r="G15" s="353"/>
      <c r="H15" s="354"/>
      <c r="I15" s="354"/>
      <c r="J15" s="354"/>
      <c r="K15" s="412"/>
      <c r="L15" s="412"/>
      <c r="M15" s="413">
        <f>44849.44/(10.409+0.541/10.409*G15)*G15</f>
        <v>0</v>
      </c>
      <c r="N15" s="414"/>
      <c r="O15" s="410"/>
      <c r="P15" s="410"/>
      <c r="Q15" s="410"/>
      <c r="R15" s="415"/>
      <c r="S15" s="411"/>
      <c r="T15" s="416"/>
      <c r="U15" s="358"/>
      <c r="V15" s="358"/>
      <c r="W15" s="417"/>
      <c r="X15" s="418"/>
      <c r="Y15" s="436"/>
      <c r="Z15" s="437"/>
      <c r="AA15" s="419"/>
      <c r="AB15" s="420"/>
      <c r="AC15" s="421"/>
      <c r="AD15" s="421"/>
      <c r="AE15" s="422"/>
      <c r="AF15" s="423"/>
      <c r="AG15" s="358"/>
      <c r="AH15" s="365"/>
      <c r="AI15" s="366"/>
      <c r="AJ15" s="358"/>
      <c r="AK15" s="365"/>
      <c r="AL15" s="366"/>
      <c r="AM15" s="358"/>
      <c r="AN15" s="365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20">
      <selection activeCell="A49" sqref="A49"/>
    </sheetView>
  </sheetViews>
  <sheetFormatPr defaultColWidth="9.00390625" defaultRowHeight="12.75"/>
  <cols>
    <col min="1" max="1" width="13.00390625" style="25" customWidth="1"/>
    <col min="2" max="2" width="36.375" style="25" customWidth="1"/>
    <col min="3" max="3" width="12.25390625" style="90" customWidth="1"/>
    <col min="4" max="4" width="13.00390625" style="0" customWidth="1"/>
    <col min="5" max="5" width="11.625" style="316" customWidth="1"/>
    <col min="6" max="6" width="3.125" style="0" customWidth="1"/>
    <col min="7" max="7" width="12.375" style="315" bestFit="1" customWidth="1"/>
    <col min="8" max="8" width="7.125" style="0" customWidth="1"/>
  </cols>
  <sheetData>
    <row r="1" ht="25.5">
      <c r="C1" s="92" t="s">
        <v>266</v>
      </c>
    </row>
    <row r="2" ht="12.75">
      <c r="C2" s="90" t="s">
        <v>143</v>
      </c>
    </row>
    <row r="3" spans="3:7" ht="63.75">
      <c r="C3" s="90" t="s">
        <v>108</v>
      </c>
      <c r="D3" t="s">
        <v>273</v>
      </c>
      <c r="G3" s="315" t="s">
        <v>276</v>
      </c>
    </row>
    <row r="5" spans="1:3" ht="12.75">
      <c r="A5" s="25" t="s">
        <v>71</v>
      </c>
      <c r="B5" s="25" t="s">
        <v>75</v>
      </c>
      <c r="C5" s="90" t="s">
        <v>256</v>
      </c>
    </row>
    <row r="6" spans="1:8" ht="12.75">
      <c r="A6" s="104" t="s">
        <v>71</v>
      </c>
      <c r="B6" s="104" t="s">
        <v>142</v>
      </c>
      <c r="C6" s="90">
        <v>2950</v>
      </c>
      <c r="D6">
        <v>2910.55</v>
      </c>
      <c r="E6" s="316">
        <f>C6-D6</f>
        <v>39.44999999999982</v>
      </c>
      <c r="G6" s="315">
        <f>D6</f>
        <v>2910.55</v>
      </c>
      <c r="H6">
        <v>1</v>
      </c>
    </row>
    <row r="7" spans="1:3" ht="12.75">
      <c r="A7" s="26" t="s">
        <v>71</v>
      </c>
      <c r="B7" s="26" t="s">
        <v>257</v>
      </c>
      <c r="C7" s="91">
        <v>3150</v>
      </c>
    </row>
    <row r="8" spans="1:3" ht="12.75">
      <c r="A8" s="104" t="s">
        <v>167</v>
      </c>
      <c r="B8" s="104" t="s">
        <v>258</v>
      </c>
      <c r="C8" s="91">
        <v>3100</v>
      </c>
    </row>
    <row r="9" spans="1:3" ht="12.75">
      <c r="A9" s="25" t="s">
        <v>167</v>
      </c>
      <c r="B9" s="25" t="s">
        <v>72</v>
      </c>
      <c r="C9" s="90" t="s">
        <v>260</v>
      </c>
    </row>
    <row r="10" ht="12.75">
      <c r="E10" s="316">
        <f aca="true" t="shared" si="0" ref="E10:E36">C10-D10</f>
        <v>0</v>
      </c>
    </row>
    <row r="11" spans="1:3" ht="12.75">
      <c r="A11" s="25" t="s">
        <v>261</v>
      </c>
      <c r="B11" s="25" t="s">
        <v>75</v>
      </c>
      <c r="C11" s="90" t="s">
        <v>260</v>
      </c>
    </row>
    <row r="12" spans="1:8" ht="13.5" customHeight="1">
      <c r="A12" s="25" t="s">
        <v>168</v>
      </c>
      <c r="B12" s="25" t="s">
        <v>73</v>
      </c>
      <c r="C12" s="189">
        <v>3250</v>
      </c>
      <c r="E12" s="316">
        <f t="shared" si="0"/>
        <v>3250</v>
      </c>
      <c r="G12" s="315">
        <f>C12</f>
        <v>3250</v>
      </c>
      <c r="H12">
        <v>1</v>
      </c>
    </row>
    <row r="13" spans="1:8" ht="13.5" customHeight="1">
      <c r="A13" s="25" t="s">
        <v>169</v>
      </c>
      <c r="B13" s="25" t="s">
        <v>73</v>
      </c>
      <c r="C13" s="189">
        <v>3250</v>
      </c>
      <c r="D13">
        <v>3181.63</v>
      </c>
      <c r="E13" s="316">
        <f t="shared" si="0"/>
        <v>68.36999999999989</v>
      </c>
      <c r="G13" s="315">
        <f>C13</f>
        <v>3250</v>
      </c>
      <c r="H13">
        <v>1</v>
      </c>
    </row>
    <row r="14" spans="1:8" ht="12.75">
      <c r="A14" s="104" t="s">
        <v>168</v>
      </c>
      <c r="B14" s="104" t="s">
        <v>142</v>
      </c>
      <c r="C14" s="189">
        <v>2650</v>
      </c>
      <c r="G14" s="315">
        <f>C14</f>
        <v>2650</v>
      </c>
      <c r="H14">
        <v>1</v>
      </c>
    </row>
    <row r="15" spans="1:8" ht="12.75">
      <c r="A15" s="104" t="s">
        <v>169</v>
      </c>
      <c r="B15" s="104" t="s">
        <v>142</v>
      </c>
      <c r="C15" s="189">
        <v>2650</v>
      </c>
      <c r="G15" s="315">
        <f>C15</f>
        <v>2650</v>
      </c>
      <c r="H15">
        <v>1</v>
      </c>
    </row>
    <row r="16" spans="1:3" ht="12.75">
      <c r="A16" s="104" t="s">
        <v>261</v>
      </c>
      <c r="B16" s="104" t="s">
        <v>257</v>
      </c>
      <c r="C16" s="190">
        <v>2850</v>
      </c>
    </row>
    <row r="17" spans="1:5" ht="12.75">
      <c r="A17" s="25" t="s">
        <v>169</v>
      </c>
      <c r="B17" s="25" t="s">
        <v>72</v>
      </c>
      <c r="C17" s="189">
        <v>2550</v>
      </c>
      <c r="E17" s="316">
        <f t="shared" si="0"/>
        <v>2550</v>
      </c>
    </row>
    <row r="18" spans="1:5" ht="12.75">
      <c r="A18" s="25" t="s">
        <v>168</v>
      </c>
      <c r="B18" s="25" t="s">
        <v>72</v>
      </c>
      <c r="C18" s="189">
        <v>2550</v>
      </c>
      <c r="D18">
        <v>1951.52</v>
      </c>
      <c r="E18" s="316">
        <f t="shared" si="0"/>
        <v>598.48</v>
      </c>
    </row>
    <row r="19" ht="12.75">
      <c r="E19" s="316">
        <f t="shared" si="0"/>
        <v>0</v>
      </c>
    </row>
    <row r="20" spans="1:8" ht="12.75">
      <c r="A20" s="25" t="s">
        <v>74</v>
      </c>
      <c r="B20" s="25" t="s">
        <v>73</v>
      </c>
      <c r="C20" s="189">
        <v>4250</v>
      </c>
      <c r="D20">
        <v>3359.12</v>
      </c>
      <c r="E20" s="316">
        <f t="shared" si="0"/>
        <v>890.8800000000001</v>
      </c>
      <c r="G20" s="315">
        <f>C20</f>
        <v>4250</v>
      </c>
      <c r="H20">
        <v>1</v>
      </c>
    </row>
    <row r="21" spans="1:8" ht="12.75">
      <c r="A21" s="104" t="s">
        <v>74</v>
      </c>
      <c r="B21" s="104" t="s">
        <v>142</v>
      </c>
      <c r="C21" s="189">
        <v>3700</v>
      </c>
      <c r="D21">
        <v>3089.3</v>
      </c>
      <c r="E21" s="316">
        <f t="shared" si="0"/>
        <v>610.6999999999998</v>
      </c>
      <c r="G21" s="315">
        <f>C21</f>
        <v>3700</v>
      </c>
      <c r="H21">
        <v>1</v>
      </c>
    </row>
    <row r="22" spans="1:3" ht="12.75">
      <c r="A22" s="104" t="s">
        <v>74</v>
      </c>
      <c r="B22" s="104" t="s">
        <v>257</v>
      </c>
      <c r="C22" s="190">
        <v>3900</v>
      </c>
    </row>
    <row r="23" spans="1:5" ht="12.75">
      <c r="A23" s="26"/>
      <c r="B23" s="26"/>
      <c r="E23" s="316">
        <f t="shared" si="0"/>
        <v>0</v>
      </c>
    </row>
    <row r="24" spans="1:8" ht="12.75">
      <c r="A24" s="25" t="s">
        <v>65</v>
      </c>
      <c r="B24" s="25" t="s">
        <v>73</v>
      </c>
      <c r="C24" s="189">
        <v>4250</v>
      </c>
      <c r="D24">
        <v>4436.55</v>
      </c>
      <c r="E24" s="317">
        <f t="shared" si="0"/>
        <v>-186.55000000000018</v>
      </c>
      <c r="G24" s="315">
        <f>C24</f>
        <v>4250</v>
      </c>
      <c r="H24">
        <v>1</v>
      </c>
    </row>
    <row r="25" spans="1:8" ht="12.75">
      <c r="A25" s="104" t="s">
        <v>65</v>
      </c>
      <c r="B25" s="104" t="s">
        <v>142</v>
      </c>
      <c r="C25" s="189">
        <v>3700</v>
      </c>
      <c r="D25">
        <v>3213.84</v>
      </c>
      <c r="E25" s="316">
        <f t="shared" si="0"/>
        <v>486.15999999999985</v>
      </c>
      <c r="G25" s="315">
        <f>C25</f>
        <v>3700</v>
      </c>
      <c r="H25">
        <v>1</v>
      </c>
    </row>
    <row r="26" spans="1:3" ht="12.75">
      <c r="A26" s="104" t="s">
        <v>65</v>
      </c>
      <c r="B26" s="104" t="s">
        <v>257</v>
      </c>
      <c r="C26" s="190">
        <v>3900</v>
      </c>
    </row>
    <row r="27" spans="1:2" ht="12.75">
      <c r="A27" s="26" t="s">
        <v>65</v>
      </c>
      <c r="B27" s="26" t="s">
        <v>75</v>
      </c>
    </row>
    <row r="28" spans="1:2" ht="12.75">
      <c r="A28" s="26"/>
      <c r="B28" s="26"/>
    </row>
    <row r="29" spans="1:3" ht="12.75">
      <c r="A29" s="25" t="s">
        <v>77</v>
      </c>
      <c r="B29" s="25" t="s">
        <v>75</v>
      </c>
      <c r="C29" s="90" t="s">
        <v>256</v>
      </c>
    </row>
    <row r="30" spans="1:8" ht="12.75">
      <c r="A30" s="104" t="s">
        <v>77</v>
      </c>
      <c r="B30" s="104" t="s">
        <v>142</v>
      </c>
      <c r="C30" s="189">
        <v>2900</v>
      </c>
      <c r="D30">
        <v>3016.38</v>
      </c>
      <c r="E30" s="317">
        <f t="shared" si="0"/>
        <v>-116.38000000000011</v>
      </c>
      <c r="G30" s="315">
        <f>C30</f>
        <v>2900</v>
      </c>
      <c r="H30">
        <v>1</v>
      </c>
    </row>
    <row r="31" spans="1:3" ht="12.75">
      <c r="A31" s="104" t="s">
        <v>77</v>
      </c>
      <c r="B31" s="104" t="s">
        <v>257</v>
      </c>
      <c r="C31" s="189">
        <v>3100</v>
      </c>
    </row>
    <row r="32" spans="1:3" ht="12.75">
      <c r="A32" s="25" t="s">
        <v>76</v>
      </c>
      <c r="B32" s="25" t="s">
        <v>75</v>
      </c>
      <c r="C32" s="90" t="s">
        <v>256</v>
      </c>
    </row>
    <row r="33" spans="1:8" ht="12.75">
      <c r="A33" s="104" t="s">
        <v>274</v>
      </c>
      <c r="B33" s="104" t="s">
        <v>142</v>
      </c>
      <c r="C33" s="189">
        <v>2600</v>
      </c>
      <c r="D33">
        <v>2951.16</v>
      </c>
      <c r="E33" s="317">
        <f t="shared" si="0"/>
        <v>-351.15999999999985</v>
      </c>
      <c r="G33" s="315">
        <f>C33</f>
        <v>2600</v>
      </c>
      <c r="H33">
        <v>1</v>
      </c>
    </row>
    <row r="34" spans="1:8" ht="12.75">
      <c r="A34" s="104" t="s">
        <v>275</v>
      </c>
      <c r="B34" s="104" t="s">
        <v>142</v>
      </c>
      <c r="C34" s="189">
        <v>2600</v>
      </c>
      <c r="D34">
        <v>2957.88</v>
      </c>
      <c r="E34" s="317">
        <f t="shared" si="0"/>
        <v>-357.8800000000001</v>
      </c>
      <c r="G34" s="315">
        <f>C34</f>
        <v>2600</v>
      </c>
      <c r="H34">
        <v>1</v>
      </c>
    </row>
    <row r="35" spans="1:3" ht="12.75">
      <c r="A35" s="104" t="s">
        <v>76</v>
      </c>
      <c r="B35" s="104" t="s">
        <v>257</v>
      </c>
      <c r="C35" s="189">
        <v>2800</v>
      </c>
    </row>
    <row r="36" spans="1:8" ht="12.75">
      <c r="A36" s="104" t="s">
        <v>76</v>
      </c>
      <c r="B36" s="104" t="s">
        <v>72</v>
      </c>
      <c r="C36" s="189">
        <v>2500</v>
      </c>
      <c r="E36" s="316">
        <f t="shared" si="0"/>
        <v>2500</v>
      </c>
      <c r="G36" s="315">
        <f>C36</f>
        <v>2500</v>
      </c>
      <c r="H36">
        <v>1</v>
      </c>
    </row>
    <row r="38" spans="1:8" ht="12.75">
      <c r="A38" s="26" t="s">
        <v>78</v>
      </c>
      <c r="B38" s="26"/>
      <c r="G38" s="315">
        <f>SUM(G6:G36)</f>
        <v>41210.55</v>
      </c>
      <c r="H38">
        <f>SUM(H6:H36)</f>
        <v>13</v>
      </c>
    </row>
    <row r="39" spans="1:7" ht="12.75">
      <c r="A39" s="26" t="s">
        <v>79</v>
      </c>
      <c r="B39" s="26"/>
      <c r="G39" s="315">
        <f>G38/H38</f>
        <v>3170.042307692308</v>
      </c>
    </row>
    <row r="40" spans="1:3" ht="12.75">
      <c r="A40" s="26" t="s">
        <v>80</v>
      </c>
      <c r="B40" s="26"/>
      <c r="C40" s="189">
        <v>169.49</v>
      </c>
    </row>
    <row r="41" spans="1:3" ht="12.75">
      <c r="A41" s="26" t="s">
        <v>106</v>
      </c>
      <c r="B41" s="26"/>
      <c r="C41" s="189">
        <v>200</v>
      </c>
    </row>
    <row r="42" spans="1:3" ht="12.75">
      <c r="A42" s="26" t="s">
        <v>107</v>
      </c>
      <c r="B42" s="26"/>
      <c r="C42" s="189">
        <v>150</v>
      </c>
    </row>
    <row r="43" spans="1:2" ht="12.75">
      <c r="A43" s="26"/>
      <c r="B43" s="26"/>
    </row>
    <row r="44" spans="1:2" ht="13.5" thickBot="1">
      <c r="A44" s="26"/>
      <c r="B44" s="26"/>
    </row>
    <row r="45" spans="1:3" ht="25.5">
      <c r="A45" s="114" t="s">
        <v>81</v>
      </c>
      <c r="B45" s="115" t="s">
        <v>264</v>
      </c>
      <c r="C45" s="195">
        <v>4500</v>
      </c>
    </row>
    <row r="46" spans="1:3" ht="12.75">
      <c r="A46" s="130" t="s">
        <v>81</v>
      </c>
      <c r="B46" s="131" t="s">
        <v>267</v>
      </c>
      <c r="C46" s="189">
        <v>4620.45</v>
      </c>
    </row>
    <row r="47" spans="1:3" ht="25.5">
      <c r="A47" s="146" t="s">
        <v>81</v>
      </c>
      <c r="B47" s="131" t="s">
        <v>268</v>
      </c>
      <c r="C47" s="207">
        <v>15.646421663442942</v>
      </c>
    </row>
    <row r="48" spans="1:3" ht="25.5">
      <c r="A48" s="146" t="s">
        <v>81</v>
      </c>
      <c r="B48" s="131" t="s">
        <v>271</v>
      </c>
      <c r="C48" s="207">
        <v>16.086655429676707</v>
      </c>
    </row>
    <row r="49" spans="1:3" ht="25.5">
      <c r="A49" s="146" t="s">
        <v>81</v>
      </c>
      <c r="B49" s="131" t="s">
        <v>269</v>
      </c>
      <c r="C49" s="189"/>
    </row>
    <row r="50" spans="1:3" ht="26.25" thickBot="1">
      <c r="A50" s="155" t="s">
        <v>81</v>
      </c>
      <c r="B50" s="156" t="s">
        <v>270</v>
      </c>
      <c r="C50" s="198"/>
    </row>
    <row r="51" spans="1:2" ht="13.5" thickBot="1">
      <c r="A51" s="26"/>
      <c r="B51" s="26"/>
    </row>
    <row r="52" spans="1:3" ht="38.25">
      <c r="A52" s="176" t="s">
        <v>84</v>
      </c>
      <c r="B52" s="115" t="s">
        <v>272</v>
      </c>
      <c r="C52" s="195">
        <v>5750</v>
      </c>
    </row>
    <row r="53" spans="1:3" ht="12.75">
      <c r="A53" s="146" t="s">
        <v>84</v>
      </c>
      <c r="B53" s="131" t="s">
        <v>267</v>
      </c>
      <c r="C53" s="189">
        <v>5848.22</v>
      </c>
    </row>
    <row r="54" spans="1:3" ht="25.5">
      <c r="A54" s="146" t="s">
        <v>84</v>
      </c>
      <c r="B54" s="131" t="s">
        <v>268</v>
      </c>
      <c r="C54" s="189">
        <v>17.45119047619048</v>
      </c>
    </row>
    <row r="55" spans="1:3" ht="25.5">
      <c r="A55" s="146" t="s">
        <v>84</v>
      </c>
      <c r="B55" s="131" t="s">
        <v>271</v>
      </c>
      <c r="C55" s="189">
        <v>19.076321428571433</v>
      </c>
    </row>
    <row r="56" spans="1:3" ht="12.75">
      <c r="A56" s="146" t="s">
        <v>84</v>
      </c>
      <c r="B56" s="144" t="s">
        <v>88</v>
      </c>
      <c r="C56" s="134"/>
    </row>
    <row r="57" spans="1:3" ht="26.25" thickBot="1">
      <c r="A57" s="155" t="s">
        <v>84</v>
      </c>
      <c r="B57" s="156" t="s">
        <v>270</v>
      </c>
      <c r="C57" s="162"/>
    </row>
    <row r="58" ht="13.5" thickBot="1"/>
    <row r="59" spans="1:3" ht="12.75">
      <c r="A59" s="176" t="s">
        <v>85</v>
      </c>
      <c r="B59" s="128" t="s">
        <v>82</v>
      </c>
      <c r="C59" s="195">
        <v>5750</v>
      </c>
    </row>
    <row r="60" spans="1:3" ht="12.75">
      <c r="A60" s="146" t="s">
        <v>85</v>
      </c>
      <c r="B60" s="144" t="s">
        <v>83</v>
      </c>
      <c r="C60" s="189"/>
    </row>
    <row r="61" spans="1:3" ht="13.5" thickBot="1">
      <c r="A61" s="155" t="s">
        <v>85</v>
      </c>
      <c r="B61" s="172" t="s">
        <v>88</v>
      </c>
      <c r="C61" s="198"/>
    </row>
    <row r="62" ht="13.5" thickBot="1"/>
    <row r="63" spans="1:3" ht="12.75">
      <c r="A63" s="176" t="s">
        <v>86</v>
      </c>
      <c r="B63" s="128" t="s">
        <v>82</v>
      </c>
      <c r="C63" s="195">
        <v>5720.338983050848</v>
      </c>
    </row>
    <row r="64" spans="1:3" ht="12.75">
      <c r="A64" s="146" t="s">
        <v>86</v>
      </c>
      <c r="B64" s="144" t="s">
        <v>83</v>
      </c>
      <c r="C64" s="189"/>
    </row>
    <row r="65" spans="1:3" ht="13.5" thickBot="1">
      <c r="A65" s="155" t="s">
        <v>86</v>
      </c>
      <c r="B65" s="172" t="s">
        <v>88</v>
      </c>
      <c r="C65" s="162"/>
    </row>
    <row r="66" ht="13.5" thickBot="1"/>
    <row r="67" spans="1:3" ht="12.75">
      <c r="A67" s="201" t="s">
        <v>87</v>
      </c>
      <c r="B67" s="183" t="s">
        <v>68</v>
      </c>
      <c r="C67" s="195">
        <v>3700</v>
      </c>
    </row>
    <row r="68" spans="1:3" ht="12.75">
      <c r="A68" s="202" t="s">
        <v>87</v>
      </c>
      <c r="B68" s="179" t="s">
        <v>73</v>
      </c>
      <c r="C68" s="189">
        <v>4300</v>
      </c>
    </row>
    <row r="69" spans="1:3" ht="13.5" thickBot="1">
      <c r="A69" s="203" t="s">
        <v>87</v>
      </c>
      <c r="B69" s="181" t="s">
        <v>75</v>
      </c>
      <c r="C69" s="19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65"/>
  <sheetViews>
    <sheetView zoomScalePageLayoutView="0" workbookViewId="0" topLeftCell="Q45">
      <selection activeCell="R56" sqref="R56"/>
    </sheetView>
  </sheetViews>
  <sheetFormatPr defaultColWidth="9.00390625" defaultRowHeight="12.75"/>
  <cols>
    <col min="1" max="1" width="19.875" style="279" customWidth="1"/>
    <col min="2" max="2" width="36.375" style="217" customWidth="1"/>
    <col min="3" max="5" width="8.25390625" style="219" hidden="1" customWidth="1"/>
    <col min="6" max="6" width="7.00390625" style="219" hidden="1" customWidth="1"/>
    <col min="7" max="7" width="8.00390625" style="219" hidden="1" customWidth="1"/>
    <col min="8" max="8" width="8.375" style="219" hidden="1" customWidth="1"/>
    <col min="9" max="9" width="8.25390625" style="219" hidden="1" customWidth="1"/>
    <col min="10" max="10" width="7.875" style="219" hidden="1" customWidth="1"/>
    <col min="11" max="11" width="10.625" style="221" hidden="1" customWidth="1"/>
    <col min="12" max="12" width="11.25390625" style="221" hidden="1" customWidth="1"/>
    <col min="13" max="13" width="1.625" style="221" hidden="1" customWidth="1"/>
    <col min="14" max="14" width="12.25390625" style="221" hidden="1" customWidth="1"/>
    <col min="15" max="15" width="13.00390625" style="221" hidden="1" customWidth="1"/>
    <col min="16" max="16" width="19.875" style="222" customWidth="1"/>
    <col min="17" max="17" width="16.75390625" style="237" customWidth="1"/>
    <col min="18" max="18" width="19.125" style="238" customWidth="1"/>
    <col min="19" max="19" width="8.875" style="252" hidden="1" customWidth="1"/>
    <col min="20" max="20" width="2.75390625" style="253" customWidth="1"/>
    <col min="21" max="21" width="15.125" style="254" customWidth="1"/>
    <col min="22" max="22" width="15.00390625" style="221" customWidth="1"/>
    <col min="23" max="23" width="15.75390625" style="221" customWidth="1"/>
    <col min="24" max="24" width="12.25390625" style="221" customWidth="1"/>
    <col min="25" max="25" width="1.75390625" style="225" customWidth="1"/>
    <col min="26" max="26" width="13.00390625" style="254" customWidth="1"/>
    <col min="27" max="27" width="14.75390625" style="221" customWidth="1"/>
    <col min="28" max="28" width="15.75390625" style="221" customWidth="1"/>
    <col min="29" max="29" width="2.25390625" style="227" hidden="1" customWidth="1"/>
    <col min="30" max="33" width="13.75390625" style="228" hidden="1" customWidth="1"/>
    <col min="34" max="34" width="10.625" style="228" hidden="1" customWidth="1"/>
    <col min="35" max="35" width="13.625" style="228" hidden="1" customWidth="1"/>
    <col min="36" max="36" width="10.00390625" style="228" hidden="1" customWidth="1"/>
    <col min="37" max="37" width="2.25390625" style="227" hidden="1" customWidth="1"/>
    <col min="38" max="40" width="0" style="228" hidden="1" customWidth="1"/>
    <col min="41" max="41" width="2.25390625" style="227" hidden="1" customWidth="1"/>
    <col min="42" max="44" width="0" style="228" hidden="1" customWidth="1"/>
    <col min="45" max="45" width="2.25390625" style="227" hidden="1" customWidth="1"/>
    <col min="46" max="46" width="11.625" style="228" hidden="1" customWidth="1"/>
    <col min="47" max="48" width="0" style="228" hidden="1" customWidth="1"/>
    <col min="49" max="49" width="2.25390625" style="227" hidden="1" customWidth="1"/>
    <col min="50" max="50" width="11.625" style="228" hidden="1" customWidth="1"/>
    <col min="51" max="51" width="0" style="230" hidden="1" customWidth="1"/>
    <col min="52" max="52" width="2.25390625" style="227" hidden="1" customWidth="1"/>
    <col min="53" max="53" width="11.625" style="228" hidden="1" customWidth="1"/>
    <col min="54" max="54" width="19.625" style="230" hidden="1" customWidth="1"/>
    <col min="55" max="55" width="2.25390625" style="227" hidden="1" customWidth="1"/>
    <col min="56" max="57" width="16.25390625" style="230" hidden="1" customWidth="1"/>
    <col min="58" max="58" width="0.875" style="218" hidden="1" customWidth="1"/>
    <col min="59" max="59" width="19.625" style="228" hidden="1" customWidth="1"/>
    <col min="60" max="60" width="17.625" style="230" hidden="1" customWidth="1"/>
    <col min="61" max="61" width="2.25390625" style="227" hidden="1" customWidth="1"/>
    <col min="62" max="62" width="11.625" style="228" hidden="1" customWidth="1"/>
    <col min="63" max="63" width="19.625" style="230" hidden="1" customWidth="1"/>
    <col min="64" max="100" width="0" style="230" hidden="1" customWidth="1"/>
    <col min="101" max="16384" width="9.125" style="230" customWidth="1"/>
  </cols>
  <sheetData>
    <row r="1" spans="3:92" ht="45">
      <c r="C1" s="219">
        <f>'расчет цен и скидок'!C1</f>
        <v>0</v>
      </c>
      <c r="D1" s="219">
        <f>'расчет цен и скидок'!D1</f>
        <v>0</v>
      </c>
      <c r="E1" s="219">
        <f>'расчет цен и скидок'!E1</f>
        <v>0</v>
      </c>
      <c r="F1" s="219">
        <f>'расчет цен и скидок'!F1</f>
        <v>0</v>
      </c>
      <c r="G1" s="219">
        <f>'расчет цен и скидок'!G1</f>
        <v>0</v>
      </c>
      <c r="H1" s="219">
        <f>'расчет цен и скидок'!H1</f>
        <v>0</v>
      </c>
      <c r="I1" s="217" t="str">
        <f>'расчет цен и скидок'!I1</f>
        <v>2 скидка</v>
      </c>
      <c r="J1" s="217">
        <f>'расчет цен и скидок'!J1</f>
        <v>0</v>
      </c>
      <c r="K1" s="221" t="str">
        <f>'расчет цен и скидок'!K1</f>
        <v>на 31/12/07</v>
      </c>
      <c r="L1" s="221" t="str">
        <f>'расчет цен и скидок'!L1</f>
        <v>на 31/12/07</v>
      </c>
      <c r="M1" s="221">
        <f>'расчет цен и скидок'!M1</f>
        <v>0</v>
      </c>
      <c r="N1" s="221">
        <f>'расчет цен и скидок'!N1</f>
        <v>0</v>
      </c>
      <c r="O1" s="221">
        <f>'расчет цен и скидок'!O1</f>
        <v>0</v>
      </c>
      <c r="P1" s="251" t="str">
        <f>'расчет цен и скидок'!P1</f>
        <v>цена в прайсе</v>
      </c>
      <c r="Q1" s="237">
        <f>'расчет цен и скидок'!Q1</f>
        <v>0</v>
      </c>
      <c r="R1" s="238">
        <f>'расчет цен и скидок'!R1</f>
        <v>0</v>
      </c>
      <c r="S1" s="252">
        <f>'расчет цен и скидок'!S1</f>
        <v>0</v>
      </c>
      <c r="T1" s="253">
        <f>'расчет цен и скидок'!T1</f>
        <v>0</v>
      </c>
      <c r="U1" s="254">
        <f>'расчет цен и скидок'!U1</f>
        <v>0</v>
      </c>
      <c r="V1" s="221">
        <f>'расчет цен и скидок'!V1</f>
        <v>0</v>
      </c>
      <c r="W1" s="221">
        <f>'расчет цен и скидок'!W1</f>
        <v>0</v>
      </c>
      <c r="X1" s="221">
        <f>'расчет цен и скидок'!X1</f>
        <v>0</v>
      </c>
      <c r="Y1" s="225">
        <f>'расчет цен и скидок'!Y1</f>
        <v>0</v>
      </c>
      <c r="Z1" s="255"/>
      <c r="AA1" s="256">
        <f>'расчет цен и скидок'!AA1</f>
        <v>0</v>
      </c>
      <c r="AB1" s="256">
        <f>'расчет цен и скидок'!AB1</f>
        <v>0</v>
      </c>
      <c r="AC1" s="227">
        <f>'расчет цен и скидок'!AC1</f>
        <v>0</v>
      </c>
      <c r="AD1" s="228" t="str">
        <f>'расчет цен и скидок'!AD1</f>
        <v>Богданович</v>
      </c>
      <c r="AE1" s="228">
        <f>'расчет цен и скидок'!AE1</f>
        <v>0</v>
      </c>
      <c r="AF1" s="228">
        <f>'расчет цен и скидок'!AF1</f>
        <v>0</v>
      </c>
      <c r="AG1" s="228">
        <f>'расчет цен и скидок'!AG1</f>
        <v>0</v>
      </c>
      <c r="AH1" s="228" t="str">
        <f>'расчет цен и скидок'!AH1</f>
        <v>Богданович</v>
      </c>
      <c r="AI1" s="228">
        <f>'расчет цен и скидок'!AI1</f>
        <v>0</v>
      </c>
      <c r="AJ1" s="228" t="str">
        <f>'расчет цен и скидок'!AJ1</f>
        <v>Богданович</v>
      </c>
      <c r="AK1" s="227">
        <f>'расчет цен и скидок'!AK1</f>
        <v>0</v>
      </c>
      <c r="AL1" s="228" t="str">
        <f>'расчет цен и скидок'!AL1</f>
        <v>Сух. Лог </v>
      </c>
      <c r="AM1" s="228" t="str">
        <f>'расчет цен и скидок'!AM1</f>
        <v>Сух. Лог </v>
      </c>
      <c r="AN1" s="228">
        <f>'расчет цен и скидок'!AN1</f>
        <v>0</v>
      </c>
      <c r="AO1" s="227">
        <f>'расчет цен и скидок'!AO1</f>
        <v>0</v>
      </c>
      <c r="AP1" s="228" t="str">
        <f>'расчет цен и скидок'!AP1</f>
        <v>Никомогнеупор</v>
      </c>
      <c r="AQ1" s="228" t="str">
        <f>'расчет цен и скидок'!AQ1</f>
        <v>Никомогнеупор</v>
      </c>
      <c r="AR1" s="228">
        <f>'расчет цен и скидок'!AR1</f>
        <v>0</v>
      </c>
      <c r="AS1" s="227">
        <f>'расчет цен и скидок'!AS1</f>
        <v>0</v>
      </c>
      <c r="AT1" s="257" t="str">
        <f>'расчет цен и скидок'!AT1</f>
        <v>Сибпроект</v>
      </c>
      <c r="AU1" s="228" t="str">
        <f>'расчет цен и скидок'!AU1</f>
        <v>Сиброект</v>
      </c>
      <c r="AV1" s="228">
        <f>'расчет цен и скидок'!AV1</f>
        <v>0</v>
      </c>
      <c r="AW1" s="227">
        <f>'расчет цен и скидок'!AW1</f>
        <v>0</v>
      </c>
      <c r="AX1" s="257" t="str">
        <f>'расчет цен и скидок'!AX1</f>
        <v>Сиб. Порошки</v>
      </c>
      <c r="AY1" s="230">
        <f>'расчет цен и скидок'!AY1</f>
        <v>0</v>
      </c>
      <c r="AZ1" s="227">
        <f>'расчет цен и скидок'!AZ1</f>
        <v>0</v>
      </c>
      <c r="BA1" s="257" t="str">
        <f>'расчет цен и скидок'!BA1</f>
        <v>ПромКерамика</v>
      </c>
      <c r="BB1" s="230">
        <f>'расчет цен и скидок'!BB1</f>
        <v>0</v>
      </c>
      <c r="BC1" s="227">
        <f>'расчет цен и скидок'!BC1</f>
        <v>0</v>
      </c>
      <c r="BD1" s="258" t="str">
        <f>'расчет цен и скидок'!BD1</f>
        <v>Сиалт Новосибирск</v>
      </c>
      <c r="BE1" s="258">
        <f>'расчет цен и скидок'!BE1</f>
        <v>0</v>
      </c>
      <c r="BF1" s="259">
        <f>'расчет цен и скидок'!BF1</f>
        <v>0</v>
      </c>
      <c r="BG1" s="228">
        <f>'расчет цен и скидок'!BG1</f>
        <v>0</v>
      </c>
      <c r="BH1" s="230">
        <f>'расчет цен и скидок'!BH1</f>
        <v>0</v>
      </c>
      <c r="BI1" s="227">
        <f>'расчет цен и скидок'!BI1</f>
        <v>0</v>
      </c>
      <c r="BJ1" s="257" t="str">
        <f>'расчет цен и скидок'!BJ1</f>
        <v>РСУ 77</v>
      </c>
      <c r="BK1" s="230">
        <f>'расчет цен и скидок'!BK1</f>
        <v>0</v>
      </c>
      <c r="BL1" s="230">
        <f>'расчет цен и скидок'!BL1</f>
        <v>0</v>
      </c>
      <c r="BM1" s="230">
        <f>'расчет цен и скидок'!BM1</f>
        <v>0</v>
      </c>
      <c r="BN1" s="230">
        <f>'расчет цен и скидок'!BN1</f>
        <v>0</v>
      </c>
      <c r="BO1" s="230">
        <f>'расчет цен и скидок'!BO1</f>
        <v>0</v>
      </c>
      <c r="BP1" s="230">
        <f>'расчет цен и скидок'!BP1</f>
        <v>0</v>
      </c>
      <c r="BQ1" s="230">
        <f>'расчет цен и скидок'!BQ1</f>
        <v>0</v>
      </c>
      <c r="BR1" s="230">
        <f>'расчет цен и скидок'!BR1</f>
        <v>0</v>
      </c>
      <c r="BS1" s="230">
        <f>'расчет цен и скидок'!BS1</f>
        <v>0</v>
      </c>
      <c r="BT1" s="230">
        <f>'расчет цен и скидок'!BT1</f>
        <v>0</v>
      </c>
      <c r="BU1" s="230">
        <f>'расчет цен и скидок'!BU1</f>
        <v>0</v>
      </c>
      <c r="BV1" s="230">
        <f>'расчет цен и скидок'!BV1</f>
        <v>0</v>
      </c>
      <c r="BW1" s="230">
        <f>'расчет цен и скидок'!BW1</f>
        <v>0</v>
      </c>
      <c r="BX1" s="230">
        <f>'расчет цен и скидок'!BX1</f>
        <v>0</v>
      </c>
      <c r="BY1" s="230">
        <f>'расчет цен и скидок'!BY1</f>
        <v>0</v>
      </c>
      <c r="BZ1" s="230">
        <f>'расчет цен и скидок'!BZ1</f>
        <v>0</v>
      </c>
      <c r="CA1" s="230">
        <f>'расчет цен и скидок'!CA1</f>
        <v>0</v>
      </c>
      <c r="CB1" s="230">
        <f>'расчет цен и скидок'!CB1</f>
        <v>0</v>
      </c>
      <c r="CC1" s="230">
        <f>'расчет цен и скидок'!CC1</f>
        <v>0</v>
      </c>
      <c r="CD1" s="230">
        <f>'расчет цен и скидок'!CD1</f>
        <v>0</v>
      </c>
      <c r="CE1" s="230">
        <f>'расчет цен и скидок'!CE1</f>
        <v>0</v>
      </c>
      <c r="CF1" s="230">
        <f>'расчет цен и скидок'!CF1</f>
        <v>0</v>
      </c>
      <c r="CG1" s="230">
        <f>'расчет цен и скидок'!CG1</f>
        <v>0</v>
      </c>
      <c r="CH1" s="230">
        <f>'расчет цен и скидок'!CH1</f>
        <v>0</v>
      </c>
      <c r="CI1" s="230">
        <f>'расчет цен и скидок'!CI1</f>
        <v>0</v>
      </c>
      <c r="CJ1" s="230">
        <f>'расчет цен и скидок'!CJ1</f>
        <v>0</v>
      </c>
      <c r="CK1" s="230">
        <f>'расчет цен и скидок'!CK1</f>
        <v>0</v>
      </c>
      <c r="CL1" s="230">
        <f>'расчет цен и скидок'!CL1</f>
        <v>0</v>
      </c>
      <c r="CM1" s="230">
        <f>'расчет цен и скидок'!CM1</f>
        <v>0</v>
      </c>
      <c r="CN1" s="230">
        <f>'расчет цен и скидок'!CN1</f>
        <v>0</v>
      </c>
    </row>
    <row r="2" spans="3:92" ht="45">
      <c r="C2" s="219">
        <f>'расчет цен и скидок'!C2</f>
        <v>0</v>
      </c>
      <c r="D2" s="219">
        <f>'расчет цен и скидок'!D2</f>
        <v>0</v>
      </c>
      <c r="E2" s="219">
        <f>'расчет цен и скидок'!E2</f>
        <v>0</v>
      </c>
      <c r="F2" s="219">
        <f>'расчет цен и скидок'!F2</f>
        <v>0</v>
      </c>
      <c r="G2" s="217" t="str">
        <f>'расчет цен и скидок'!G2</f>
        <v>1 скидка</v>
      </c>
      <c r="H2" s="217">
        <f>'расчет цен и скидок'!H2</f>
        <v>0</v>
      </c>
      <c r="I2" s="219">
        <f>'расчет цен и скидок'!I2</f>
        <v>0</v>
      </c>
      <c r="J2" s="219">
        <f>'расчет цен и скидок'!J2</f>
        <v>0</v>
      </c>
      <c r="K2" s="221" t="str">
        <f>'расчет цен и скидок'!K2</f>
        <v>за 1 т</v>
      </c>
      <c r="L2" s="221">
        <f>'расчет цен и скидок'!L2</f>
        <v>0</v>
      </c>
      <c r="M2" s="221">
        <f>'расчет цен и скидок'!M2</f>
        <v>0</v>
      </c>
      <c r="N2" s="221">
        <f>'расчет цен и скидок'!N2</f>
        <v>0</v>
      </c>
      <c r="O2" s="221">
        <f>'расчет цен и скидок'!O2</f>
        <v>0</v>
      </c>
      <c r="P2" s="222" t="str">
        <f>'расчет цен и скидок'!P2</f>
        <v>**</v>
      </c>
      <c r="Q2" s="237">
        <f>'расчет цен и скидок'!Q2</f>
        <v>0</v>
      </c>
      <c r="R2" s="238">
        <f>'расчет цен и скидок'!R2</f>
        <v>0</v>
      </c>
      <c r="S2" s="260" t="str">
        <f>'расчет цен и скидок'!S2</f>
        <v>*</v>
      </c>
      <c r="T2" s="253">
        <f>'расчет цен и скидок'!T2</f>
        <v>0</v>
      </c>
      <c r="U2" s="261">
        <f>'расчет цен и скидок'!U2</f>
        <v>0.03</v>
      </c>
      <c r="V2" s="221">
        <f>'расчет цен и скидок'!V2</f>
        <v>0</v>
      </c>
      <c r="W2" s="221">
        <f>'расчет цен и скидок'!W2</f>
        <v>0</v>
      </c>
      <c r="X2" s="221">
        <f>'расчет цен и скидок'!X2</f>
        <v>0</v>
      </c>
      <c r="Y2" s="225">
        <f>'расчет цен и скидок'!Y2</f>
        <v>0</v>
      </c>
      <c r="Z2" s="261">
        <f>'расчет цен и скидок'!Z2</f>
        <v>0.08</v>
      </c>
      <c r="AA2" s="221">
        <f>'расчет цен и скидок'!AA2</f>
        <v>0</v>
      </c>
      <c r="AB2" s="221">
        <f>'расчет цен и скидок'!AB2</f>
        <v>0</v>
      </c>
      <c r="AC2" s="227">
        <f>'расчет цен и скидок'!AC2</f>
        <v>0</v>
      </c>
      <c r="AD2" s="262" t="str">
        <f>'расчет цен и скидок'!AD2</f>
        <v>на 31/12/07</v>
      </c>
      <c r="AE2" s="262">
        <f>'расчет цен и скидок'!AE2</f>
        <v>0</v>
      </c>
      <c r="AF2" s="262">
        <f>'расчет цен и скидок'!AF2</f>
        <v>0</v>
      </c>
      <c r="AG2" s="262">
        <f>'расчет цен и скидок'!AG2</f>
        <v>0</v>
      </c>
      <c r="AH2" s="263" t="str">
        <f>'расчет цен и скидок'!AH2</f>
        <v>на 01/01/08</v>
      </c>
      <c r="AI2" s="263">
        <f>'расчет цен и скидок'!AI2</f>
        <v>0</v>
      </c>
      <c r="AJ2" s="228" t="str">
        <f>'расчет цен и скидок'!AJ2</f>
        <v>подорожание</v>
      </c>
      <c r="AK2" s="227">
        <f>'расчет цен и скидок'!AK2</f>
        <v>0</v>
      </c>
      <c r="AL2" s="228" t="str">
        <f>'расчет цен и скидок'!AL2</f>
        <v>на 31/12/07</v>
      </c>
      <c r="AM2" s="228" t="str">
        <f>'расчет цен и скидок'!AM2</f>
        <v>на 01/01/08</v>
      </c>
      <c r="AN2" s="228" t="str">
        <f>'расчет цен и скидок'!AN2</f>
        <v>подорожание</v>
      </c>
      <c r="AO2" s="227">
        <f>'расчет цен и скидок'!AO2</f>
        <v>0</v>
      </c>
      <c r="AP2" s="228" t="str">
        <f>'расчет цен и скидок'!AP2</f>
        <v>на 31/12/07</v>
      </c>
      <c r="AQ2" s="228" t="str">
        <f>'расчет цен и скидок'!AQ2</f>
        <v>на 01/01/08</v>
      </c>
      <c r="AR2" s="228" t="str">
        <f>'расчет цен и скидок'!AR2</f>
        <v>подорожание</v>
      </c>
      <c r="AS2" s="227">
        <f>'расчет цен и скидок'!AS2</f>
        <v>0</v>
      </c>
      <c r="AT2" s="228" t="str">
        <f>'расчет цен и скидок'!AT2</f>
        <v>на 31/12/07</v>
      </c>
      <c r="AU2" s="228" t="str">
        <f>'расчет цен и скидок'!AU2</f>
        <v>на 01/01/08</v>
      </c>
      <c r="AV2" s="228" t="str">
        <f>'расчет цен и скидок'!AV2</f>
        <v>подорожание</v>
      </c>
      <c r="AW2" s="227">
        <f>'расчет цен и скидок'!AW2</f>
        <v>0</v>
      </c>
      <c r="AX2" s="228" t="str">
        <f>'расчет цен и скидок'!AX2</f>
        <v>на 31/12/07</v>
      </c>
      <c r="AY2" s="230">
        <f>'расчет цен и скидок'!AY2</f>
        <v>0</v>
      </c>
      <c r="AZ2" s="227">
        <f>'расчет цен и скидок'!AZ2</f>
        <v>0</v>
      </c>
      <c r="BA2" s="228" t="str">
        <f>'расчет цен и скидок'!BA2</f>
        <v>на 31/12/07</v>
      </c>
      <c r="BB2" s="230">
        <f>'расчет цен и скидок'!BB2</f>
        <v>0</v>
      </c>
      <c r="BC2" s="227">
        <f>'расчет цен и скидок'!BC2</f>
        <v>0</v>
      </c>
      <c r="BD2" s="230" t="str">
        <f>'расчет цен и скидок'!BD2</f>
        <v>на 31/12/07</v>
      </c>
      <c r="BE2" s="230" t="str">
        <f>'расчет цен и скидок'!BE2</f>
        <v>примечание</v>
      </c>
      <c r="BF2" s="218">
        <f>'расчет цен и скидок'!BF2</f>
        <v>0</v>
      </c>
      <c r="BG2" s="228" t="str">
        <f>'расчет цен и скидок'!BG2</f>
        <v>на 14/01/08</v>
      </c>
      <c r="BH2" s="230" t="str">
        <f>'расчет цен и скидок'!BH2</f>
        <v>примечание</v>
      </c>
      <c r="BI2" s="227">
        <f>'расчет цен и скидок'!BI2</f>
        <v>0</v>
      </c>
      <c r="BJ2" s="228" t="str">
        <f>'расчет цен и скидок'!BJ2</f>
        <v>на 31/12/07</v>
      </c>
      <c r="BK2" s="230" t="str">
        <f>'расчет цен и скидок'!BK2</f>
        <v>на 14/01/08</v>
      </c>
      <c r="BL2" s="230">
        <f>'расчет цен и скидок'!BL2</f>
        <v>0</v>
      </c>
      <c r="BM2" s="230">
        <f>'расчет цен и скидок'!BM2</f>
        <v>0</v>
      </c>
      <c r="BN2" s="230">
        <f>'расчет цен и скидок'!BN2</f>
        <v>0</v>
      </c>
      <c r="BO2" s="230">
        <f>'расчет цен и скидок'!BO2</f>
        <v>0</v>
      </c>
      <c r="BP2" s="230">
        <f>'расчет цен и скидок'!BP2</f>
        <v>0</v>
      </c>
      <c r="BQ2" s="230">
        <f>'расчет цен и скидок'!BQ2</f>
        <v>0</v>
      </c>
      <c r="BR2" s="230">
        <f>'расчет цен и скидок'!BR2</f>
        <v>0</v>
      </c>
      <c r="BS2" s="230">
        <f>'расчет цен и скидок'!BS2</f>
        <v>0</v>
      </c>
      <c r="BT2" s="230">
        <f>'расчет цен и скидок'!BT2</f>
        <v>0</v>
      </c>
      <c r="BU2" s="230">
        <f>'расчет цен и скидок'!BU2</f>
        <v>0</v>
      </c>
      <c r="BV2" s="230">
        <f>'расчет цен и скидок'!BV2</f>
        <v>0</v>
      </c>
      <c r="BW2" s="230">
        <f>'расчет цен и скидок'!BW2</f>
        <v>0</v>
      </c>
      <c r="BX2" s="230">
        <f>'расчет цен и скидок'!BX2</f>
        <v>0</v>
      </c>
      <c r="BY2" s="230">
        <f>'расчет цен и скидок'!BY2</f>
        <v>0</v>
      </c>
      <c r="BZ2" s="230">
        <f>'расчет цен и скидок'!BZ2</f>
        <v>0</v>
      </c>
      <c r="CA2" s="230">
        <f>'расчет цен и скидок'!CA2</f>
        <v>0</v>
      </c>
      <c r="CB2" s="230">
        <f>'расчет цен и скидок'!CB2</f>
        <v>0</v>
      </c>
      <c r="CC2" s="230">
        <f>'расчет цен и скидок'!CC2</f>
        <v>0</v>
      </c>
      <c r="CD2" s="230">
        <f>'расчет цен и скидок'!CD2</f>
        <v>0</v>
      </c>
      <c r="CE2" s="230">
        <f>'расчет цен и скидок'!CE2</f>
        <v>0</v>
      </c>
      <c r="CF2" s="230">
        <f>'расчет цен и скидок'!CF2</f>
        <v>0</v>
      </c>
      <c r="CG2" s="230">
        <f>'расчет цен и скидок'!CG2</f>
        <v>0</v>
      </c>
      <c r="CH2" s="230">
        <f>'расчет цен и скидок'!CH2</f>
        <v>0</v>
      </c>
      <c r="CI2" s="230">
        <f>'расчет цен и скидок'!CI2</f>
        <v>0</v>
      </c>
      <c r="CJ2" s="230">
        <f>'расчет цен и скидок'!CJ2</f>
        <v>0</v>
      </c>
      <c r="CK2" s="230">
        <f>'расчет цен и скидок'!CK2</f>
        <v>0</v>
      </c>
      <c r="CL2" s="230">
        <f>'расчет цен и скидок'!CL2</f>
        <v>0</v>
      </c>
      <c r="CM2" s="230">
        <f>'расчет цен и скидок'!CM2</f>
        <v>0</v>
      </c>
      <c r="CN2" s="230">
        <f>'расчет цен и скидок'!CN2</f>
        <v>0</v>
      </c>
    </row>
    <row r="3" spans="1:92" ht="88.5" customHeight="1">
      <c r="A3" s="303"/>
      <c r="B3" s="304"/>
      <c r="C3" s="305" t="str">
        <f>'расчет цен и скидок'!C3</f>
        <v>с/ть приобретения (с учетом НДС, доставки, поддонов и т.п.)</v>
      </c>
      <c r="D3" s="305" t="str">
        <f>'расчет цен и скидок'!D3</f>
        <v>с/сть приобретения с учетом подорожания без нашей надбавки</v>
      </c>
      <c r="E3" s="305" t="str">
        <f>'расчет цен и скидок'!E3</f>
        <v>расчет нашей надбавки от цены продажи (по факт с/ти)</v>
      </c>
      <c r="F3" s="305" t="str">
        <f>'расчет цен и скидок'!F3</f>
        <v>расчет нашей надбавки от цены продажи с учетом подорожания</v>
      </c>
      <c r="G3" s="305" t="str">
        <f>'расчет цен и скидок'!G3</f>
        <v>расчет нашей надбавки от цены продажи (по факт с/ти)</v>
      </c>
      <c r="H3" s="305" t="str">
        <f>'расчет цен и скидок'!H3</f>
        <v>расчет нашей надбавки от цены продажи с учетом подорожания</v>
      </c>
      <c r="I3" s="305" t="str">
        <f>'расчет цен и скидок'!I3</f>
        <v>расчет нашей надбавки от цены продажи (по факт с/ти)</v>
      </c>
      <c r="J3" s="305" t="str">
        <f>'расчет цен и скидок'!J3</f>
        <v>расчет нашей надбавки от цены продажи с учетом подорожания</v>
      </c>
      <c r="K3" s="252" t="str">
        <f>'расчет цен и скидок'!K3</f>
        <v>без ндс</v>
      </c>
      <c r="L3" s="252" t="str">
        <f>'расчет цен и скидок'!L3</f>
        <v>с ндс за 1 т</v>
      </c>
      <c r="M3" s="252">
        <f>'расчет цен и скидок'!M3</f>
        <v>0</v>
      </c>
      <c r="N3" s="252" t="str">
        <f>'расчет цен и скидок'!N3</f>
        <v>цена с 01/01/08 без ндс из расчета подоражания  по столбцу *</v>
      </c>
      <c r="O3" s="252" t="str">
        <f>'расчет цен и скидок'!O3</f>
        <v>цена с 01/01/08 с ндс  из расчета подоражания  по столбцу *</v>
      </c>
      <c r="P3" s="306" t="str">
        <f>'расчет цен и скидок'!P3</f>
        <v>цена с 01/01/08 без ндс (округленная)</v>
      </c>
      <c r="Q3" s="306" t="str">
        <f>'расчет цен и скидок'!Q3</f>
        <v>НДС 01/01/08 (округленный)</v>
      </c>
      <c r="R3" s="307" t="str">
        <f>'расчет цен и скидок'!R3</f>
        <v>цена с 01/01/08 с ндс (округленная)</v>
      </c>
      <c r="S3" s="252" t="str">
        <f>'расчет цен и скидок'!S3</f>
        <v>повышение цены с 01.01.08</v>
      </c>
      <c r="T3" s="260"/>
      <c r="U3" s="260" t="str">
        <f>'расчет цен и скидок'!U3</f>
        <v>скидка для оптовиков на продукцию</v>
      </c>
      <c r="V3" s="252" t="str">
        <f>'расчет цен и скидок'!V3</f>
        <v>цена для оптовиков без ндс</v>
      </c>
      <c r="W3" s="252" t="str">
        <f>'расчет цен и скидок'!W3</f>
        <v>цена для оптовиков без ндс с округлением</v>
      </c>
      <c r="X3" s="252" t="str">
        <f>'расчет цен и скидок'!X3</f>
        <v>цена для оптовиков с ндс</v>
      </c>
      <c r="Y3" s="252">
        <f>'расчет цен и скидок'!Y3</f>
        <v>0</v>
      </c>
      <c r="Z3" s="260" t="str">
        <f>'расчет цен и скидок'!Z3</f>
        <v>скидка для оптовиков</v>
      </c>
      <c r="AA3" s="252" t="str">
        <f>'расчет цен и скидок'!AA3</f>
        <v>цена для оптовиков без ндс</v>
      </c>
      <c r="AB3" s="252" t="str">
        <f>'расчет цен и скидок'!AB3</f>
        <v>цена для оптовиков с ндс</v>
      </c>
      <c r="AC3" s="227">
        <f>'расчет цен и скидок'!AC3</f>
        <v>0</v>
      </c>
      <c r="AD3" s="228" t="str">
        <f>'расчет цен и скидок'!AD3</f>
        <v>без ндс</v>
      </c>
      <c r="AE3" s="228" t="str">
        <f>'расчет цен и скидок'!AE3</f>
        <v>без ндс с учетом доставки</v>
      </c>
      <c r="AF3" s="228" t="str">
        <f>'расчет цен и скидок'!AF3</f>
        <v>с ндс с учетом доставки</v>
      </c>
      <c r="AG3" s="228" t="str">
        <f>'расчет цен и скидок'!AG3</f>
        <v>цена доставки  1 тонны (без ндс)</v>
      </c>
      <c r="AH3" s="228" t="str">
        <f>'расчет цен и скидок'!AH3</f>
        <v>без ндс</v>
      </c>
      <c r="AI3" s="228" t="str">
        <f>'расчет цен и скидок'!AI3</f>
        <v>без ндс с учетом доставки</v>
      </c>
      <c r="AJ3" s="228">
        <f>'расчет цен и скидок'!AJ3</f>
        <v>0</v>
      </c>
      <c r="AK3" s="227">
        <f>'расчет цен и скидок'!AK3</f>
        <v>0</v>
      </c>
      <c r="AL3" s="228" t="str">
        <f>'расчет цен и скидок'!AL3</f>
        <v>без ндс</v>
      </c>
      <c r="AM3" s="228" t="str">
        <f>'расчет цен и скидок'!AM3</f>
        <v>без ндс</v>
      </c>
      <c r="AN3" s="228">
        <f>'расчет цен и скидок'!AN3</f>
        <v>0</v>
      </c>
      <c r="AO3" s="227">
        <f>'расчет цен и скидок'!AO3</f>
        <v>0</v>
      </c>
      <c r="AP3" s="228" t="str">
        <f>'расчет цен и скидок'!AP3</f>
        <v>без ндс</v>
      </c>
      <c r="AQ3" s="228" t="str">
        <f>'расчет цен и скидок'!AQ3</f>
        <v>без ндс</v>
      </c>
      <c r="AR3" s="228">
        <f>'расчет цен и скидок'!AR3</f>
        <v>0</v>
      </c>
      <c r="AS3" s="227">
        <f>'расчет цен и скидок'!AS3</f>
        <v>0</v>
      </c>
      <c r="AT3" s="228" t="str">
        <f>'расчет цен и скидок'!AT3</f>
        <v>без ндс</v>
      </c>
      <c r="AU3" s="228" t="str">
        <f>'расчет цен и скидок'!AU3</f>
        <v>без ндс</v>
      </c>
      <c r="AV3" s="228">
        <f>'расчет цен и скидок'!AV3</f>
        <v>0</v>
      </c>
      <c r="AW3" s="227">
        <f>'расчет цен и скидок'!AW3</f>
        <v>0</v>
      </c>
      <c r="AX3" s="228" t="str">
        <f>'расчет цен и скидок'!AX3</f>
        <v>без ндс (НДС у них нет)</v>
      </c>
      <c r="AY3" s="230" t="str">
        <f>'расчет цен и скидок'!AY3</f>
        <v>ж/д тариф на 1 тонну</v>
      </c>
      <c r="AZ3" s="227">
        <f>'расчет цен и скидок'!AZ3</f>
        <v>0</v>
      </c>
      <c r="BA3" s="228" t="str">
        <f>'расчет цен и скидок'!BA3</f>
        <v>без ндс</v>
      </c>
      <c r="BB3" s="230" t="str">
        <f>'расчет цен и скидок'!BB3</f>
        <v>ж/д тариф на 1 тонну</v>
      </c>
      <c r="BC3" s="227">
        <f>'расчет цен и скидок'!BC3</f>
        <v>0</v>
      </c>
      <c r="BD3" s="230">
        <f>'расчет цен и скидок'!BD3</f>
        <v>0</v>
      </c>
      <c r="BE3" s="230">
        <f>'расчет цен и скидок'!BE3</f>
        <v>0</v>
      </c>
      <c r="BF3" s="218">
        <f>'расчет цен и скидок'!BF3</f>
        <v>0</v>
      </c>
      <c r="BG3" s="228">
        <f>'расчет цен и скидок'!BG3</f>
        <v>0</v>
      </c>
      <c r="BH3" s="230">
        <f>'расчет цен и скидок'!BH3</f>
        <v>0</v>
      </c>
      <c r="BI3" s="227">
        <f>'расчет цен и скидок'!BI3</f>
        <v>0</v>
      </c>
      <c r="BJ3" s="228">
        <f>'расчет цен и скидок'!BJ3</f>
        <v>0</v>
      </c>
      <c r="BK3" s="230">
        <f>'расчет цен и скидок'!BK3</f>
        <v>0</v>
      </c>
      <c r="BL3" s="230">
        <f>'расчет цен и скидок'!BL3</f>
        <v>0</v>
      </c>
      <c r="BM3" s="230">
        <f>'расчет цен и скидок'!BM3</f>
        <v>0</v>
      </c>
      <c r="BN3" s="230">
        <f>'расчет цен и скидок'!BN3</f>
        <v>0</v>
      </c>
      <c r="BO3" s="230">
        <f>'расчет цен и скидок'!BO3</f>
        <v>0</v>
      </c>
      <c r="BP3" s="230">
        <f>'расчет цен и скидок'!BP3</f>
        <v>0</v>
      </c>
      <c r="BQ3" s="230">
        <f>'расчет цен и скидок'!BQ3</f>
        <v>0</v>
      </c>
      <c r="BR3" s="230">
        <f>'расчет цен и скидок'!BR3</f>
        <v>0</v>
      </c>
      <c r="BS3" s="230">
        <f>'расчет цен и скидок'!BS3</f>
        <v>0</v>
      </c>
      <c r="BT3" s="230">
        <f>'расчет цен и скидок'!BT3</f>
        <v>0</v>
      </c>
      <c r="BU3" s="230">
        <f>'расчет цен и скидок'!BU3</f>
        <v>0</v>
      </c>
      <c r="BV3" s="230">
        <f>'расчет цен и скидок'!BV3</f>
        <v>0</v>
      </c>
      <c r="BW3" s="230">
        <f>'расчет цен и скидок'!BW3</f>
        <v>0</v>
      </c>
      <c r="BX3" s="230">
        <f>'расчет цен и скидок'!BX3</f>
        <v>0</v>
      </c>
      <c r="BY3" s="230">
        <f>'расчет цен и скидок'!BY3</f>
        <v>0</v>
      </c>
      <c r="BZ3" s="230">
        <f>'расчет цен и скидок'!BZ3</f>
        <v>0</v>
      </c>
      <c r="CA3" s="230">
        <f>'расчет цен и скидок'!CA3</f>
        <v>0</v>
      </c>
      <c r="CB3" s="230">
        <f>'расчет цен и скидок'!CB3</f>
        <v>0</v>
      </c>
      <c r="CC3" s="230">
        <f>'расчет цен и скидок'!CC3</f>
        <v>0</v>
      </c>
      <c r="CD3" s="230">
        <f>'расчет цен и скидок'!CD3</f>
        <v>0</v>
      </c>
      <c r="CE3" s="230">
        <f>'расчет цен и скидок'!CE3</f>
        <v>0</v>
      </c>
      <c r="CF3" s="230">
        <f>'расчет цен и скидок'!CF3</f>
        <v>0</v>
      </c>
      <c r="CG3" s="230">
        <f>'расчет цен и скидок'!CG3</f>
        <v>0</v>
      </c>
      <c r="CH3" s="230">
        <f>'расчет цен и скидок'!CH3</f>
        <v>0</v>
      </c>
      <c r="CI3" s="230">
        <f>'расчет цен и скидок'!CI3</f>
        <v>0</v>
      </c>
      <c r="CJ3" s="230">
        <f>'расчет цен и скидок'!CJ3</f>
        <v>0</v>
      </c>
      <c r="CK3" s="230">
        <f>'расчет цен и скидок'!CK3</f>
        <v>0</v>
      </c>
      <c r="CL3" s="230">
        <f>'расчет цен и скидок'!CL3</f>
        <v>0</v>
      </c>
      <c r="CM3" s="230">
        <f>'расчет цен и скидок'!CM3</f>
        <v>0</v>
      </c>
      <c r="CN3" s="230">
        <f>'расчет цен и скидок'!CN3</f>
        <v>0</v>
      </c>
    </row>
    <row r="4" spans="3:92" ht="15.75">
      <c r="C4" s="219">
        <f>'расчет цен и скидок'!C4</f>
        <v>0</v>
      </c>
      <c r="D4" s="219">
        <f>'расчет цен и скидок'!D4</f>
        <v>0</v>
      </c>
      <c r="E4" s="219">
        <f>'расчет цен и скидок'!E4</f>
        <v>0</v>
      </c>
      <c r="F4" s="219">
        <f>'расчет цен и скидок'!F4</f>
        <v>0</v>
      </c>
      <c r="G4" s="219">
        <f>'расчет цен и скидок'!G4</f>
        <v>0</v>
      </c>
      <c r="H4" s="219">
        <f>'расчет цен и скидок'!H4</f>
        <v>0</v>
      </c>
      <c r="I4" s="219">
        <f>'расчет цен и скидок'!I4</f>
        <v>0</v>
      </c>
      <c r="J4" s="219">
        <f>'расчет цен и скидок'!J4</f>
        <v>0</v>
      </c>
      <c r="K4" s="221">
        <f>'расчет цен и скидок'!K4</f>
        <v>0</v>
      </c>
      <c r="L4" s="221">
        <f>'расчет цен и скидок'!L4</f>
        <v>0</v>
      </c>
      <c r="M4" s="221">
        <f>'расчет цен и скидок'!M4</f>
        <v>0</v>
      </c>
      <c r="N4" s="221">
        <f>'расчет цен и скидок'!N4</f>
        <v>0</v>
      </c>
      <c r="O4" s="221">
        <f>'расчет цен и скидок'!O4</f>
        <v>0</v>
      </c>
      <c r="P4" s="232">
        <f>'расчет цен и скидок'!P4</f>
        <v>0</v>
      </c>
      <c r="Q4" s="233">
        <f>'расчет цен и скидок'!Q4</f>
        <v>0</v>
      </c>
      <c r="R4" s="234">
        <f>'расчет цен и скидок'!R4</f>
        <v>0</v>
      </c>
      <c r="S4" s="252">
        <f>'расчет цен и скидок'!S4</f>
        <v>0</v>
      </c>
      <c r="T4" s="253">
        <f>'расчет цен и скидок'!T4</f>
        <v>0</v>
      </c>
      <c r="U4" s="254">
        <f>'расчет цен и скидок'!U4</f>
        <v>0</v>
      </c>
      <c r="V4" s="221">
        <f>'расчет цен и скидок'!V4</f>
        <v>0</v>
      </c>
      <c r="W4" s="221">
        <f>'расчет цен и скидок'!W4</f>
        <v>0</v>
      </c>
      <c r="X4" s="221">
        <f>'расчет цен и скидок'!X4</f>
        <v>0</v>
      </c>
      <c r="Y4" s="225">
        <f>'расчет цен и скидок'!Y4</f>
        <v>0</v>
      </c>
      <c r="Z4" s="254">
        <f>'расчет цен и скидок'!Z4</f>
        <v>0</v>
      </c>
      <c r="AA4" s="221">
        <f>'расчет цен и скидок'!AA4</f>
        <v>0</v>
      </c>
      <c r="AB4" s="221">
        <f>'расчет цен и скидок'!AB4</f>
        <v>0</v>
      </c>
      <c r="AC4" s="227">
        <f>'расчет цен и скидок'!AC4</f>
        <v>0</v>
      </c>
      <c r="AD4" s="228">
        <f>'расчет цен и скидок'!AD4</f>
        <v>0</v>
      </c>
      <c r="AE4" s="228">
        <f>'расчет цен и скидок'!AE4</f>
        <v>0</v>
      </c>
      <c r="AF4" s="228">
        <f>'расчет цен и скидок'!AF4</f>
        <v>0</v>
      </c>
      <c r="AG4" s="228">
        <f>'расчет цен и скидок'!AG4</f>
        <v>0</v>
      </c>
      <c r="AH4" s="228">
        <f>'расчет цен и скидок'!AH4</f>
        <v>0</v>
      </c>
      <c r="AI4" s="228">
        <f>'расчет цен и скидок'!AI4</f>
        <v>0</v>
      </c>
      <c r="AJ4" s="228">
        <f>'расчет цен и скидок'!AJ4</f>
        <v>0</v>
      </c>
      <c r="AK4" s="227">
        <f>'расчет цен и скидок'!AK4</f>
        <v>0</v>
      </c>
      <c r="AL4" s="228">
        <f>'расчет цен и скидок'!AL4</f>
        <v>0</v>
      </c>
      <c r="AM4" s="228">
        <f>'расчет цен и скидок'!AM4</f>
        <v>0</v>
      </c>
      <c r="AN4" s="228">
        <f>'расчет цен и скидок'!AN4</f>
        <v>0</v>
      </c>
      <c r="AO4" s="227">
        <f>'расчет цен и скидок'!AO4</f>
        <v>0</v>
      </c>
      <c r="AP4" s="228">
        <f>'расчет цен и скидок'!AP4</f>
        <v>0</v>
      </c>
      <c r="AQ4" s="228">
        <f>'расчет цен и скидок'!AQ4</f>
        <v>0</v>
      </c>
      <c r="AR4" s="228">
        <f>'расчет цен и скидок'!AR4</f>
        <v>0</v>
      </c>
      <c r="AS4" s="227">
        <f>'расчет цен и скидок'!AS4</f>
        <v>0</v>
      </c>
      <c r="AT4" s="228">
        <f>'расчет цен и скидок'!AT4</f>
        <v>0</v>
      </c>
      <c r="AU4" s="228">
        <f>'расчет цен и скидок'!AU4</f>
        <v>0</v>
      </c>
      <c r="AV4" s="228">
        <f>'расчет цен и скидок'!AV4</f>
        <v>0</v>
      </c>
      <c r="AW4" s="227">
        <f>'расчет цен и скидок'!AW4</f>
        <v>0</v>
      </c>
      <c r="AX4" s="228">
        <f>'расчет цен и скидок'!AX4</f>
        <v>0</v>
      </c>
      <c r="AY4" s="230">
        <f>'расчет цен и скидок'!AY4</f>
        <v>0</v>
      </c>
      <c r="AZ4" s="227">
        <f>'расчет цен и скидок'!AZ4</f>
        <v>0</v>
      </c>
      <c r="BA4" s="228">
        <f>'расчет цен и скидок'!BA4</f>
        <v>0</v>
      </c>
      <c r="BB4" s="230">
        <f>'расчет цен и скидок'!BB4</f>
        <v>0</v>
      </c>
      <c r="BC4" s="227">
        <f>'расчет цен и скидок'!BC4</f>
        <v>0</v>
      </c>
      <c r="BD4" s="230">
        <f>'расчет цен и скидок'!BD4</f>
        <v>0</v>
      </c>
      <c r="BE4" s="230">
        <f>'расчет цен и скидок'!BE4</f>
        <v>0</v>
      </c>
      <c r="BF4" s="218">
        <f>'расчет цен и скидок'!BF4</f>
        <v>0</v>
      </c>
      <c r="BG4" s="228">
        <f>'расчет цен и скидок'!BG4</f>
        <v>0</v>
      </c>
      <c r="BH4" s="230">
        <f>'расчет цен и скидок'!BH4</f>
        <v>0</v>
      </c>
      <c r="BI4" s="227">
        <f>'расчет цен и скидок'!BI4</f>
        <v>0</v>
      </c>
      <c r="BJ4" s="228">
        <f>'расчет цен и скидок'!BJ4</f>
        <v>0</v>
      </c>
      <c r="BK4" s="230">
        <f>'расчет цен и скидок'!BK4</f>
        <v>0</v>
      </c>
      <c r="BL4" s="230">
        <f>'расчет цен и скидок'!BL4</f>
        <v>0</v>
      </c>
      <c r="BM4" s="230">
        <f>'расчет цен и скидок'!BM4</f>
        <v>0</v>
      </c>
      <c r="BN4" s="230">
        <f>'расчет цен и скидок'!BN4</f>
        <v>0</v>
      </c>
      <c r="BO4" s="230">
        <f>'расчет цен и скидок'!BO4</f>
        <v>0</v>
      </c>
      <c r="BP4" s="230">
        <f>'расчет цен и скидок'!BP4</f>
        <v>0</v>
      </c>
      <c r="BQ4" s="230">
        <f>'расчет цен и скидок'!BQ4</f>
        <v>0</v>
      </c>
      <c r="BR4" s="230">
        <f>'расчет цен и скидок'!BR4</f>
        <v>0</v>
      </c>
      <c r="BS4" s="230">
        <f>'расчет цен и скидок'!BS4</f>
        <v>0</v>
      </c>
      <c r="BT4" s="230">
        <f>'расчет цен и скидок'!BT4</f>
        <v>0</v>
      </c>
      <c r="BU4" s="230">
        <f>'расчет цен и скидок'!BU4</f>
        <v>0</v>
      </c>
      <c r="BV4" s="230">
        <f>'расчет цен и скидок'!BV4</f>
        <v>0</v>
      </c>
      <c r="BW4" s="230">
        <f>'расчет цен и скидок'!BW4</f>
        <v>0</v>
      </c>
      <c r="BX4" s="230">
        <f>'расчет цен и скидок'!BX4</f>
        <v>0</v>
      </c>
      <c r="BY4" s="230">
        <f>'расчет цен и скидок'!BY4</f>
        <v>0</v>
      </c>
      <c r="BZ4" s="230">
        <f>'расчет цен и скидок'!BZ4</f>
        <v>0</v>
      </c>
      <c r="CA4" s="230">
        <f>'расчет цен и скидок'!CA4</f>
        <v>0</v>
      </c>
      <c r="CB4" s="230">
        <f>'расчет цен и скидок'!CB4</f>
        <v>0</v>
      </c>
      <c r="CC4" s="230">
        <f>'расчет цен и скидок'!CC4</f>
        <v>0</v>
      </c>
      <c r="CD4" s="230">
        <f>'расчет цен и скидок'!CD4</f>
        <v>0</v>
      </c>
      <c r="CE4" s="230">
        <f>'расчет цен и скидок'!CE4</f>
        <v>0</v>
      </c>
      <c r="CF4" s="230">
        <f>'расчет цен и скидок'!CF4</f>
        <v>0</v>
      </c>
      <c r="CG4" s="230">
        <f>'расчет цен и скидок'!CG4</f>
        <v>0</v>
      </c>
      <c r="CH4" s="230">
        <f>'расчет цен и скидок'!CH4</f>
        <v>0</v>
      </c>
      <c r="CI4" s="230">
        <f>'расчет цен и скидок'!CI4</f>
        <v>0</v>
      </c>
      <c r="CJ4" s="230">
        <f>'расчет цен и скидок'!CJ4</f>
        <v>0</v>
      </c>
      <c r="CK4" s="230">
        <f>'расчет цен и скидок'!CK4</f>
        <v>0</v>
      </c>
      <c r="CL4" s="230">
        <f>'расчет цен и скидок'!CL4</f>
        <v>0</v>
      </c>
      <c r="CM4" s="230">
        <f>'расчет цен и скидок'!CM4</f>
        <v>0</v>
      </c>
      <c r="CN4" s="230">
        <f>'расчет цен и скидок'!CN4</f>
        <v>0</v>
      </c>
    </row>
    <row r="5" spans="1:92" ht="15.75">
      <c r="A5" s="279" t="str">
        <f>'расчет цен и скидок'!A5</f>
        <v>ЗШБУ 1-3</v>
      </c>
      <c r="B5" s="308" t="str">
        <f>'расчет цен и скидок'!B5</f>
        <v>вагонные поставки</v>
      </c>
      <c r="C5" s="219">
        <f>'расчет цен и скидок'!C5</f>
        <v>0</v>
      </c>
      <c r="D5" s="219">
        <f>'расчет цен и скидок'!D5</f>
        <v>0</v>
      </c>
      <c r="E5" s="219">
        <f>'расчет цен и скидок'!E5</f>
        <v>0</v>
      </c>
      <c r="F5" s="219">
        <f>'расчет цен и скидок'!F5</f>
        <v>0</v>
      </c>
      <c r="G5" s="219">
        <f>'расчет цен и скидок'!G5</f>
        <v>0</v>
      </c>
      <c r="H5" s="219">
        <f>'расчет цен и скидок'!H5</f>
        <v>0</v>
      </c>
      <c r="I5" s="219">
        <f>'расчет цен и скидок'!I5</f>
        <v>0</v>
      </c>
      <c r="J5" s="219">
        <f>'расчет цен и скидок'!J5</f>
        <v>0</v>
      </c>
      <c r="K5" s="221">
        <f>'расчет цен и скидок'!K5</f>
        <v>2350</v>
      </c>
      <c r="L5" s="221">
        <f>'расчет цен и скидок'!L5</f>
        <v>2773</v>
      </c>
      <c r="M5" s="221">
        <f>'расчет цен и скидок'!M5</f>
        <v>0</v>
      </c>
      <c r="N5" s="221" t="str">
        <f>'расчет цен и скидок'!N5</f>
        <v>х</v>
      </c>
      <c r="O5" s="221" t="str">
        <f>'расчет цен и скидок'!O5</f>
        <v>х</v>
      </c>
      <c r="P5" s="232" t="str">
        <f>'расчет цен и скидок'!P5</f>
        <v>х</v>
      </c>
      <c r="Q5" s="233" t="str">
        <f>'расчет цен и скидок'!Q5</f>
        <v>х</v>
      </c>
      <c r="R5" s="234" t="str">
        <f>'расчет цен и скидок'!R5</f>
        <v>х</v>
      </c>
      <c r="S5" s="223">
        <f>'расчет цен и скидок'!S5</f>
        <v>0.2</v>
      </c>
      <c r="T5" s="224" t="str">
        <f>'расчет цен и скидок'!T5</f>
        <v>х</v>
      </c>
      <c r="U5" s="250"/>
      <c r="V5" s="226"/>
      <c r="W5" s="226"/>
      <c r="X5" s="226"/>
      <c r="Y5" s="264"/>
      <c r="Z5" s="311"/>
      <c r="AA5" s="312"/>
      <c r="AB5" s="313">
        <f>'расчет цен и скидок'!AB5</f>
        <v>0</v>
      </c>
      <c r="AC5" s="227">
        <f>'расчет цен и скидок'!AC5</f>
        <v>0</v>
      </c>
      <c r="AD5" s="228">
        <f>'расчет цен и скидок'!AD5</f>
        <v>0</v>
      </c>
      <c r="AE5" s="228">
        <f>'расчет цен и скидок'!AE5</f>
        <v>0</v>
      </c>
      <c r="AF5" s="228">
        <f>'расчет цен и скидок'!AF5</f>
        <v>0</v>
      </c>
      <c r="AG5" s="228">
        <f>'расчет цен и скидок'!AG5</f>
        <v>0</v>
      </c>
      <c r="AH5" s="228">
        <f>'расчет цен и скидок'!AH5</f>
        <v>0</v>
      </c>
      <c r="AI5" s="228">
        <f>'расчет цен и скидок'!AI5</f>
        <v>0</v>
      </c>
      <c r="AJ5" s="229" t="e">
        <f>'расчет цен и скидок'!AJ5</f>
        <v>#DIV/0!</v>
      </c>
      <c r="AK5" s="227">
        <f>'расчет цен и скидок'!AK5</f>
        <v>0</v>
      </c>
      <c r="AL5" s="228">
        <f>'расчет цен и скидок'!AL5</f>
        <v>0</v>
      </c>
      <c r="AM5" s="228">
        <f>'расчет цен и скидок'!AM5</f>
        <v>0</v>
      </c>
      <c r="AN5" s="228">
        <f>'расчет цен и скидок'!AN5</f>
        <v>0</v>
      </c>
      <c r="AO5" s="227">
        <f>'расчет цен и скидок'!AO5</f>
        <v>0</v>
      </c>
      <c r="AP5" s="228">
        <f>'расчет цен и скидок'!AP5</f>
        <v>0</v>
      </c>
      <c r="AQ5" s="228">
        <f>'расчет цен и скидок'!AQ5</f>
        <v>0</v>
      </c>
      <c r="AR5" s="228">
        <f>'расчет цен и скидок'!AR5</f>
        <v>0</v>
      </c>
      <c r="AS5" s="227">
        <f>'расчет цен и скидок'!AS5</f>
        <v>0</v>
      </c>
      <c r="AT5" s="228">
        <f>'расчет цен и скидок'!AT5</f>
        <v>2542.3728813559323</v>
      </c>
      <c r="AU5" s="228">
        <f>'расчет цен и скидок'!AU5</f>
        <v>0</v>
      </c>
      <c r="AV5" s="228">
        <f>'расчет цен и скидок'!AV5</f>
        <v>0</v>
      </c>
      <c r="AW5" s="227">
        <f>'расчет цен и скидок'!AW5</f>
        <v>0</v>
      </c>
      <c r="AX5" s="228">
        <f>'расчет цен и скидок'!AX5</f>
        <v>2770</v>
      </c>
      <c r="AY5" s="230">
        <f>'расчет цен и скидок'!AY5</f>
        <v>952.0396341463415</v>
      </c>
      <c r="AZ5" s="227">
        <f>'расчет цен и скидок'!AZ5</f>
        <v>0</v>
      </c>
      <c r="BA5" s="228">
        <f>'расчет цен и скидок'!BA5</f>
        <v>2300</v>
      </c>
      <c r="BB5" s="230">
        <f>'расчет цен и скидок'!BB5</f>
        <v>1286.8333333333335</v>
      </c>
      <c r="BC5" s="227">
        <f>'расчет цен и скидок'!BC5</f>
        <v>0</v>
      </c>
      <c r="BD5" s="230">
        <f>'расчет цен и скидок'!BD5</f>
        <v>0</v>
      </c>
      <c r="BE5" s="230">
        <f>'расчет цен и скидок'!BE5</f>
        <v>0</v>
      </c>
      <c r="BF5" s="218">
        <f>'расчет цен и скидок'!BF5</f>
        <v>0</v>
      </c>
      <c r="BG5" s="228">
        <f>'расчет цен и скидок'!BG5</f>
        <v>0</v>
      </c>
      <c r="BH5" s="230">
        <f>'расчет цен и скидок'!BH5</f>
        <v>0</v>
      </c>
      <c r="BI5" s="227">
        <f>'расчет цен и скидок'!BI5</f>
        <v>0</v>
      </c>
      <c r="BJ5" s="228">
        <f>'расчет цен и скидок'!BJ5</f>
        <v>0</v>
      </c>
      <c r="BK5" s="230">
        <f>'расчет цен и скидок'!BK5</f>
        <v>0</v>
      </c>
      <c r="BL5" s="230">
        <f>'расчет цен и скидок'!BL5</f>
        <v>0</v>
      </c>
      <c r="BM5" s="230">
        <f>'расчет цен и скидок'!BM5</f>
        <v>0</v>
      </c>
      <c r="BN5" s="230">
        <f>'расчет цен и скидок'!BN5</f>
        <v>0</v>
      </c>
      <c r="BO5" s="230">
        <f>'расчет цен и скидок'!BO5</f>
        <v>0</v>
      </c>
      <c r="BP5" s="230">
        <f>'расчет цен и скидок'!BP5</f>
        <v>0</v>
      </c>
      <c r="BQ5" s="230">
        <f>'расчет цен и скидок'!BQ5</f>
        <v>0</v>
      </c>
      <c r="BR5" s="230">
        <f>'расчет цен и скидок'!BR5</f>
        <v>0</v>
      </c>
      <c r="BS5" s="230">
        <f>'расчет цен и скидок'!BS5</f>
        <v>0</v>
      </c>
      <c r="BT5" s="230">
        <f>'расчет цен и скидок'!BT5</f>
        <v>0</v>
      </c>
      <c r="BU5" s="230">
        <f>'расчет цен и скидок'!BU5</f>
        <v>0</v>
      </c>
      <c r="BV5" s="230">
        <f>'расчет цен и скидок'!BV5</f>
        <v>0</v>
      </c>
      <c r="BW5" s="230">
        <f>'расчет цен и скидок'!BW5</f>
        <v>0</v>
      </c>
      <c r="BX5" s="230">
        <f>'расчет цен и скидок'!BX5</f>
        <v>0</v>
      </c>
      <c r="BY5" s="230">
        <f>'расчет цен и скидок'!BY5</f>
        <v>0</v>
      </c>
      <c r="BZ5" s="230">
        <f>'расчет цен и скидок'!BZ5</f>
        <v>0</v>
      </c>
      <c r="CA5" s="230">
        <f>'расчет цен и скидок'!CA5</f>
        <v>0</v>
      </c>
      <c r="CB5" s="230">
        <f>'расчет цен и скидок'!CB5</f>
        <v>0</v>
      </c>
      <c r="CC5" s="230">
        <f>'расчет цен и скидок'!CC5</f>
        <v>0</v>
      </c>
      <c r="CD5" s="230">
        <f>'расчет цен и скидок'!CD5</f>
        <v>0</v>
      </c>
      <c r="CE5" s="230">
        <f>'расчет цен и скидок'!CE5</f>
        <v>0</v>
      </c>
      <c r="CF5" s="230">
        <f>'расчет цен и скидок'!CF5</f>
        <v>0</v>
      </c>
      <c r="CG5" s="230">
        <f>'расчет цен и скидок'!CG5</f>
        <v>0</v>
      </c>
      <c r="CH5" s="230">
        <f>'расчет цен и скидок'!CH5</f>
        <v>0</v>
      </c>
      <c r="CI5" s="230">
        <f>'расчет цен и скидок'!CI5</f>
        <v>0</v>
      </c>
      <c r="CJ5" s="230">
        <f>'расчет цен и скидок'!CJ5</f>
        <v>0</v>
      </c>
      <c r="CK5" s="230">
        <f>'расчет цен и скидок'!CK5</f>
        <v>0</v>
      </c>
      <c r="CL5" s="230">
        <f>'расчет цен и скидок'!CL5</f>
        <v>0</v>
      </c>
      <c r="CM5" s="230">
        <f>'расчет цен и скидок'!CM5</f>
        <v>0</v>
      </c>
      <c r="CN5" s="230">
        <f>'расчет цен и скидок'!CN5</f>
        <v>0</v>
      </c>
    </row>
    <row r="6" spans="1:92" ht="15.75">
      <c r="A6" s="279" t="str">
        <f>'расчет цен и скидок'!A6</f>
        <v>ЗШБУ 1-3</v>
      </c>
      <c r="B6" s="308" t="str">
        <f>'расчет цен и скидок'!B6</f>
        <v>в МКР (без стоимости МКР)</v>
      </c>
      <c r="C6" s="219">
        <f>'расчет цен и скидок'!C6</f>
        <v>0</v>
      </c>
      <c r="D6" s="219">
        <f>'расчет цен и скидок'!D6</f>
        <v>0</v>
      </c>
      <c r="E6" s="219">
        <f>'расчет цен и скидок'!E6</f>
        <v>0</v>
      </c>
      <c r="F6" s="219">
        <f>'расчет цен и скидок'!F6</f>
        <v>0</v>
      </c>
      <c r="G6" s="219">
        <f>'расчет цен и скидок'!G6</f>
        <v>0</v>
      </c>
      <c r="H6" s="219">
        <f>'расчет цен и скидок'!H6</f>
        <v>0</v>
      </c>
      <c r="I6" s="219">
        <f>'расчет цен и скидок'!I6</f>
        <v>0</v>
      </c>
      <c r="J6" s="219">
        <f>'расчет цен и скидок'!J6</f>
        <v>0</v>
      </c>
      <c r="K6" s="220">
        <f>'расчет цен и скидок'!K6</f>
        <v>2450</v>
      </c>
      <c r="L6" s="220">
        <f>'расчет цен и скидок'!L6</f>
        <v>2891</v>
      </c>
      <c r="M6" s="220">
        <f>'расчет цен и скидок'!M6</f>
        <v>0</v>
      </c>
      <c r="N6" s="221">
        <f>'расчет цен и скидок'!N6</f>
        <v>2940</v>
      </c>
      <c r="O6" s="221">
        <f>'расчет цен и скидок'!O6</f>
        <v>3469.2</v>
      </c>
      <c r="P6" s="232">
        <f>'расчет цен и скидок'!P6</f>
        <v>2950</v>
      </c>
      <c r="Q6" s="243">
        <f>'расчет цен и скидок'!Q6</f>
        <v>531</v>
      </c>
      <c r="R6" s="282">
        <f>'расчет цен и скидок'!R6</f>
        <v>3481</v>
      </c>
      <c r="S6" s="223">
        <f>'расчет цен и скидок'!S6</f>
        <v>0.2</v>
      </c>
      <c r="T6" s="224">
        <f>'расчет цен и скидок'!T6</f>
        <v>0.20408163265306123</v>
      </c>
      <c r="U6" s="288">
        <f>'расчет цен и скидок'!U6</f>
        <v>0.03</v>
      </c>
      <c r="V6" s="243">
        <f>'расчет цен и скидок'!V6</f>
        <v>2861.5</v>
      </c>
      <c r="W6" s="243">
        <f>'расчет цен и скидок'!W6</f>
        <v>2860</v>
      </c>
      <c r="X6" s="289">
        <f>'расчет цен и скидок'!X6</f>
        <v>3374.7999999999997</v>
      </c>
      <c r="Y6" s="314">
        <f>'расчет цен и скидок'!Y6</f>
        <v>0</v>
      </c>
      <c r="Z6" s="311">
        <f>'расчет цен и скидок'!Z6</f>
        <v>0.08</v>
      </c>
      <c r="AA6" s="302">
        <f>'расчет цен и скидок'!AA6</f>
        <v>2714</v>
      </c>
      <c r="AB6" s="302">
        <f>'расчет цен и скидок'!AB6</f>
        <v>3202.52</v>
      </c>
      <c r="AC6" s="227">
        <f>'расчет цен и скидок'!AC6</f>
        <v>0</v>
      </c>
      <c r="AD6" s="228">
        <f>'расчет цен и скидок'!AD6</f>
        <v>0</v>
      </c>
      <c r="AE6" s="228">
        <f>'расчет цен и скидок'!AE6</f>
        <v>0</v>
      </c>
      <c r="AF6" s="228">
        <f>'расчет цен и скидок'!AF6</f>
        <v>0</v>
      </c>
      <c r="AG6" s="228">
        <f>'расчет цен и скидок'!AG6</f>
        <v>0</v>
      </c>
      <c r="AH6" s="228">
        <f>'расчет цен и скидок'!AH6</f>
        <v>0</v>
      </c>
      <c r="AI6" s="228">
        <f>'расчет цен и скидок'!AI6</f>
        <v>0</v>
      </c>
      <c r="AJ6" s="229" t="e">
        <f>'расчет цен и скидок'!AJ6</f>
        <v>#DIV/0!</v>
      </c>
      <c r="AK6" s="227">
        <f>'расчет цен и скидок'!AK6</f>
        <v>0</v>
      </c>
      <c r="AL6" s="228">
        <f>'расчет цен и скидок'!AL6</f>
        <v>0</v>
      </c>
      <c r="AM6" s="228">
        <f>'расчет цен и скидок'!AM6</f>
        <v>0</v>
      </c>
      <c r="AN6" s="228">
        <f>'расчет цен и скидок'!AN6</f>
        <v>0</v>
      </c>
      <c r="AO6" s="227">
        <f>'расчет цен и скидок'!AO6</f>
        <v>0</v>
      </c>
      <c r="AP6" s="228">
        <f>'расчет цен и скидок'!AP6</f>
        <v>0</v>
      </c>
      <c r="AQ6" s="228">
        <f>'расчет цен и скидок'!AQ6</f>
        <v>0</v>
      </c>
      <c r="AR6" s="228">
        <f>'расчет цен и скидок'!AR6</f>
        <v>0</v>
      </c>
      <c r="AS6" s="227">
        <f>'расчет цен и скидок'!AS6</f>
        <v>0</v>
      </c>
      <c r="AT6" s="228">
        <f>'расчет цен и скидок'!AT6</f>
        <v>4406.77966101695</v>
      </c>
      <c r="AU6" s="228">
        <f>'расчет цен и скидок'!AU6</f>
        <v>0</v>
      </c>
      <c r="AV6" s="228">
        <f>'расчет цен и скидок'!AV6</f>
        <v>0</v>
      </c>
      <c r="AW6" s="227">
        <f>'расчет цен и скидок'!AW6</f>
        <v>0</v>
      </c>
      <c r="AX6" s="228">
        <f>'расчет цен и скидок'!AX6</f>
        <v>0</v>
      </c>
      <c r="AY6" s="230">
        <f>'расчет цен и скидок'!AY6</f>
        <v>0</v>
      </c>
      <c r="AZ6" s="227">
        <f>'расчет цен и скидок'!AZ6</f>
        <v>0</v>
      </c>
      <c r="BA6" s="228">
        <f>'расчет цен и скидок'!BA6</f>
        <v>0</v>
      </c>
      <c r="BB6" s="230">
        <f>'расчет цен и скидок'!BB6</f>
        <v>0</v>
      </c>
      <c r="BC6" s="227">
        <f>'расчет цен и скидок'!BC6</f>
        <v>0</v>
      </c>
      <c r="BD6" s="230">
        <f>'расчет цен и скидок'!BD6</f>
        <v>0</v>
      </c>
      <c r="BE6" s="230">
        <f>'расчет цен и скидок'!BE6</f>
        <v>0</v>
      </c>
      <c r="BF6" s="218">
        <f>'расчет цен и скидок'!BF6</f>
        <v>0</v>
      </c>
      <c r="BG6" s="228">
        <f>'расчет цен и скидок'!BG6</f>
        <v>0</v>
      </c>
      <c r="BH6" s="230">
        <f>'расчет цен и скидок'!BH6</f>
        <v>0</v>
      </c>
      <c r="BI6" s="227">
        <f>'расчет цен и скидок'!BI6</f>
        <v>0</v>
      </c>
      <c r="BJ6" s="228">
        <f>'расчет цен и скидок'!BJ6</f>
        <v>0</v>
      </c>
      <c r="BK6" s="230">
        <f>'расчет цен и скидок'!BK6</f>
        <v>0</v>
      </c>
      <c r="BL6" s="230">
        <f>'расчет цен и скидок'!BL6</f>
        <v>0</v>
      </c>
      <c r="BM6" s="230">
        <f>'расчет цен и скидок'!BM6</f>
        <v>0</v>
      </c>
      <c r="BN6" s="230">
        <f>'расчет цен и скидок'!BN6</f>
        <v>0</v>
      </c>
      <c r="BO6" s="230">
        <f>'расчет цен и скидок'!BO6</f>
        <v>0</v>
      </c>
      <c r="BP6" s="230">
        <f>'расчет цен и скидок'!BP6</f>
        <v>0</v>
      </c>
      <c r="BQ6" s="230">
        <f>'расчет цен и скидок'!BQ6</f>
        <v>0</v>
      </c>
      <c r="BR6" s="230">
        <f>'расчет цен и скидок'!BR6</f>
        <v>0</v>
      </c>
      <c r="BS6" s="230">
        <f>'расчет цен и скидок'!BS6</f>
        <v>0</v>
      </c>
      <c r="BT6" s="230">
        <f>'расчет цен и скидок'!BT6</f>
        <v>0</v>
      </c>
      <c r="BU6" s="230">
        <f>'расчет цен и скидок'!BU6</f>
        <v>0</v>
      </c>
      <c r="BV6" s="230">
        <f>'расчет цен и скидок'!BV6</f>
        <v>0</v>
      </c>
      <c r="BW6" s="230">
        <f>'расчет цен и скидок'!BW6</f>
        <v>0</v>
      </c>
      <c r="BX6" s="230">
        <f>'расчет цен и скидок'!BX6</f>
        <v>0</v>
      </c>
      <c r="BY6" s="230">
        <f>'расчет цен и скидок'!BY6</f>
        <v>0</v>
      </c>
      <c r="BZ6" s="230">
        <f>'расчет цен и скидок'!BZ6</f>
        <v>0</v>
      </c>
      <c r="CA6" s="230">
        <f>'расчет цен и скидок'!CA6</f>
        <v>0</v>
      </c>
      <c r="CB6" s="230">
        <f>'расчет цен и скидок'!CB6</f>
        <v>0</v>
      </c>
      <c r="CC6" s="230">
        <f>'расчет цен и скидок'!CC6</f>
        <v>0</v>
      </c>
      <c r="CD6" s="230">
        <f>'расчет цен и скидок'!CD6</f>
        <v>0</v>
      </c>
      <c r="CE6" s="230">
        <f>'расчет цен и скидок'!CE6</f>
        <v>0</v>
      </c>
      <c r="CF6" s="230">
        <f>'расчет цен и скидок'!CF6</f>
        <v>0</v>
      </c>
      <c r="CG6" s="230">
        <f>'расчет цен и скидок'!CG6</f>
        <v>0</v>
      </c>
      <c r="CH6" s="230">
        <f>'расчет цен и скидок'!CH6</f>
        <v>0</v>
      </c>
      <c r="CI6" s="230">
        <f>'расчет цен и скидок'!CI6</f>
        <v>0</v>
      </c>
      <c r="CJ6" s="230">
        <f>'расчет цен и скидок'!CJ6</f>
        <v>0</v>
      </c>
      <c r="CK6" s="230">
        <f>'расчет цен и скидок'!CK6</f>
        <v>0</v>
      </c>
      <c r="CL6" s="230">
        <f>'расчет цен и скидок'!CL6</f>
        <v>0</v>
      </c>
      <c r="CM6" s="230">
        <f>'расчет цен и скидок'!CM6</f>
        <v>0</v>
      </c>
      <c r="CN6" s="230">
        <f>'расчет цен и скидок'!CN6</f>
        <v>0</v>
      </c>
    </row>
    <row r="7" spans="1:92" ht="15.75">
      <c r="A7" s="279" t="str">
        <f>'расчет цен и скидок'!A7</f>
        <v>ЗШБУ 1-3</v>
      </c>
      <c r="B7" s="308" t="str">
        <f>'расчет цен и скидок'!B7</f>
        <v>с учетом стоимости МКР (с вкладышем)</v>
      </c>
      <c r="C7" s="219">
        <f>'расчет цен и скидок'!C7</f>
        <v>0</v>
      </c>
      <c r="D7" s="219">
        <f>'расчет цен и скидок'!D7</f>
        <v>0</v>
      </c>
      <c r="E7" s="219">
        <f>'расчет цен и скидок'!E7</f>
        <v>0</v>
      </c>
      <c r="F7" s="219">
        <f>'расчет цен и скидок'!F7</f>
        <v>0</v>
      </c>
      <c r="G7" s="219">
        <f>'расчет цен и скидок'!G7</f>
        <v>0</v>
      </c>
      <c r="H7" s="219">
        <f>'расчет цен и скидок'!H7</f>
        <v>0</v>
      </c>
      <c r="I7" s="219">
        <f>'расчет цен и скидок'!I7</f>
        <v>0</v>
      </c>
      <c r="J7" s="219">
        <f>'расчет цен и скидок'!J7</f>
        <v>0</v>
      </c>
      <c r="K7" s="231">
        <f>'расчет цен и скидок'!K7</f>
        <v>2685</v>
      </c>
      <c r="L7" s="231">
        <f>'расчет цен и скидок'!L7</f>
        <v>3168.3</v>
      </c>
      <c r="M7" s="231">
        <f>'расчет цен и скидок'!M7</f>
        <v>0</v>
      </c>
      <c r="N7" s="231">
        <f>'расчет цен и скидок'!N7</f>
        <v>3222</v>
      </c>
      <c r="O7" s="231">
        <f>'расчет цен и скидок'!O7</f>
        <v>3801.9599999999996</v>
      </c>
      <c r="P7" s="235">
        <f>'расчет цен и скидок'!P7</f>
        <v>3150</v>
      </c>
      <c r="Q7" s="283">
        <f>'расчет цен и скидок'!Q7</f>
        <v>567</v>
      </c>
      <c r="R7" s="284">
        <f>'расчет цен и скидок'!R7</f>
        <v>3717</v>
      </c>
      <c r="S7" s="223">
        <f>'расчет цен и скидок'!S7</f>
        <v>0.2</v>
      </c>
      <c r="T7" s="224">
        <f>'расчет цен и скидок'!T7</f>
        <v>0.17318435754189937</v>
      </c>
      <c r="U7" s="291">
        <f>'расчет цен и скидок'!U7</f>
        <v>0.03</v>
      </c>
      <c r="V7" s="292">
        <f>'расчет цен и скидок'!V7</f>
        <v>3061.5</v>
      </c>
      <c r="W7" s="292">
        <f>'расчет цен и скидок'!W7</f>
        <v>3060</v>
      </c>
      <c r="X7" s="292">
        <f>'расчет цен и скидок'!X7</f>
        <v>3610.7999999999997</v>
      </c>
      <c r="Y7" s="314">
        <f>'расчет цен и скидок'!Y7</f>
        <v>0</v>
      </c>
      <c r="Z7" s="311">
        <f>'расчет цен и скидок'!Z7</f>
        <v>0.08</v>
      </c>
      <c r="AA7" s="302">
        <f>'расчет цен и скидок'!AA7</f>
        <v>2914</v>
      </c>
      <c r="AB7" s="302">
        <f>'расчет цен и скидок'!AB7</f>
        <v>3202.52</v>
      </c>
      <c r="AC7" s="227">
        <f>'расчет цен и скидок'!AC7</f>
        <v>0</v>
      </c>
      <c r="AD7" s="228">
        <f>'расчет цен и скидок'!AD7</f>
        <v>0</v>
      </c>
      <c r="AE7" s="228">
        <f>'расчет цен и скидок'!AE7</f>
        <v>0</v>
      </c>
      <c r="AF7" s="228">
        <f>'расчет цен и скидок'!AF7</f>
        <v>0</v>
      </c>
      <c r="AG7" s="228">
        <f>'расчет цен и скидок'!AG7</f>
        <v>0</v>
      </c>
      <c r="AH7" s="228">
        <f>'расчет цен и скидок'!AH7</f>
        <v>0</v>
      </c>
      <c r="AI7" s="228">
        <f>'расчет цен и скидок'!AI7</f>
        <v>0</v>
      </c>
      <c r="AJ7" s="229">
        <f>'расчет цен и скидок'!AJ7</f>
        <v>0</v>
      </c>
      <c r="AK7" s="227">
        <f>'расчет цен и скидок'!AK7</f>
        <v>0</v>
      </c>
      <c r="AL7" s="228">
        <f>'расчет цен и скидок'!AL7</f>
        <v>0</v>
      </c>
      <c r="AM7" s="228">
        <f>'расчет цен и скидок'!AM7</f>
        <v>0</v>
      </c>
      <c r="AN7" s="228">
        <f>'расчет цен и скидок'!AN7</f>
        <v>0</v>
      </c>
      <c r="AO7" s="227">
        <f>'расчет цен и скидок'!AO7</f>
        <v>0</v>
      </c>
      <c r="AP7" s="228">
        <f>'расчет цен и скидок'!AP7</f>
        <v>0</v>
      </c>
      <c r="AQ7" s="228">
        <f>'расчет цен и скидок'!AQ7</f>
        <v>0</v>
      </c>
      <c r="AR7" s="228">
        <f>'расчет цен и скидок'!AR7</f>
        <v>0</v>
      </c>
      <c r="AS7" s="227">
        <f>'расчет цен и скидок'!AS7</f>
        <v>0</v>
      </c>
      <c r="AT7" s="228">
        <f>'расчет цен и скидок'!AT7</f>
        <v>0</v>
      </c>
      <c r="AU7" s="228">
        <f>'расчет цен и скидок'!AU7</f>
        <v>0</v>
      </c>
      <c r="AV7" s="228">
        <f>'расчет цен и скидок'!AV7</f>
        <v>0</v>
      </c>
      <c r="AW7" s="227">
        <f>'расчет цен и скидок'!AW7</f>
        <v>0</v>
      </c>
      <c r="AX7" s="228">
        <f>'расчет цен и скидок'!AX7</f>
        <v>0</v>
      </c>
      <c r="AY7" s="230">
        <f>'расчет цен и скидок'!AY7</f>
        <v>0</v>
      </c>
      <c r="AZ7" s="227">
        <f>'расчет цен и скидок'!AZ7</f>
        <v>0</v>
      </c>
      <c r="BA7" s="228">
        <f>'расчет цен и скидок'!BA7</f>
        <v>0</v>
      </c>
      <c r="BB7" s="230">
        <f>'расчет цен и скидок'!BB7</f>
        <v>0</v>
      </c>
      <c r="BC7" s="227">
        <f>'расчет цен и скидок'!BC7</f>
        <v>0</v>
      </c>
      <c r="BD7" s="230">
        <f>'расчет цен и скидок'!BD7</f>
        <v>0</v>
      </c>
      <c r="BE7" s="230">
        <f>'расчет цен и скидок'!BE7</f>
        <v>0</v>
      </c>
      <c r="BF7" s="218">
        <f>'расчет цен и скидок'!BF7</f>
        <v>0</v>
      </c>
      <c r="BG7" s="228">
        <f>'расчет цен и скидок'!BG7</f>
        <v>0</v>
      </c>
      <c r="BH7" s="230">
        <f>'расчет цен и скидок'!BH7</f>
        <v>0</v>
      </c>
      <c r="BI7" s="227">
        <f>'расчет цен и скидок'!BI7</f>
        <v>0</v>
      </c>
      <c r="BJ7" s="228">
        <f>'расчет цен и скидок'!BJ7</f>
        <v>0</v>
      </c>
      <c r="BK7" s="230">
        <f>'расчет цен и скидок'!BK7</f>
        <v>0</v>
      </c>
      <c r="BL7" s="230">
        <f>'расчет цен и скидок'!BL7</f>
        <v>0</v>
      </c>
      <c r="BM7" s="230">
        <f>'расчет цен и скидок'!BM7</f>
        <v>0</v>
      </c>
      <c r="BN7" s="230">
        <f>'расчет цен и скидок'!BN7</f>
        <v>0</v>
      </c>
      <c r="BO7" s="230">
        <f>'расчет цен и скидок'!BO7</f>
        <v>0</v>
      </c>
      <c r="BP7" s="230">
        <f>'расчет цен и скидок'!BP7</f>
        <v>0</v>
      </c>
      <c r="BQ7" s="230">
        <f>'расчет цен и скидок'!BQ7</f>
        <v>0</v>
      </c>
      <c r="BR7" s="230">
        <f>'расчет цен и скидок'!BR7</f>
        <v>0</v>
      </c>
      <c r="BS7" s="230">
        <f>'расчет цен и скидок'!BS7</f>
        <v>0</v>
      </c>
      <c r="BT7" s="230">
        <f>'расчет цен и скидок'!BT7</f>
        <v>0</v>
      </c>
      <c r="BU7" s="230">
        <f>'расчет цен и скидок'!BU7</f>
        <v>0</v>
      </c>
      <c r="BV7" s="230">
        <f>'расчет цен и скидок'!BV7</f>
        <v>0</v>
      </c>
      <c r="BW7" s="230">
        <f>'расчет цен и скидок'!BW7</f>
        <v>0</v>
      </c>
      <c r="BX7" s="230">
        <f>'расчет цен и скидок'!BX7</f>
        <v>0</v>
      </c>
      <c r="BY7" s="230">
        <f>'расчет цен и скидок'!BY7</f>
        <v>0</v>
      </c>
      <c r="BZ7" s="230">
        <f>'расчет цен и скидок'!BZ7</f>
        <v>0</v>
      </c>
      <c r="CA7" s="230">
        <f>'расчет цен и скидок'!CA7</f>
        <v>0</v>
      </c>
      <c r="CB7" s="230">
        <f>'расчет цен и скидок'!CB7</f>
        <v>0</v>
      </c>
      <c r="CC7" s="230">
        <f>'расчет цен и скидок'!CC7</f>
        <v>0</v>
      </c>
      <c r="CD7" s="230">
        <f>'расчет цен и скидок'!CD7</f>
        <v>0</v>
      </c>
      <c r="CE7" s="230">
        <f>'расчет цен и скидок'!CE7</f>
        <v>0</v>
      </c>
      <c r="CF7" s="230">
        <f>'расчет цен и скидок'!CF7</f>
        <v>0</v>
      </c>
      <c r="CG7" s="230">
        <f>'расчет цен и скидок'!CG7</f>
        <v>0</v>
      </c>
      <c r="CH7" s="230">
        <f>'расчет цен и скидок'!CH7</f>
        <v>0</v>
      </c>
      <c r="CI7" s="230">
        <f>'расчет цен и скидок'!CI7</f>
        <v>0</v>
      </c>
      <c r="CJ7" s="230">
        <f>'расчет цен и скидок'!CJ7</f>
        <v>0</v>
      </c>
      <c r="CK7" s="230">
        <f>'расчет цен и скидок'!CK7</f>
        <v>0</v>
      </c>
      <c r="CL7" s="230">
        <f>'расчет цен и скидок'!CL7</f>
        <v>0</v>
      </c>
      <c r="CM7" s="230">
        <f>'расчет цен и скидок'!CM7</f>
        <v>0</v>
      </c>
      <c r="CN7" s="230">
        <f>'расчет цен и скидок'!CN7</f>
        <v>0</v>
      </c>
    </row>
    <row r="8" spans="1:92" ht="15.75">
      <c r="A8" s="279" t="str">
        <f>'расчет цен и скидок'!A8</f>
        <v>ЗШБУ кл.1-3</v>
      </c>
      <c r="B8" s="308" t="str">
        <f>'расчет цен и скидок'!B8</f>
        <v>с учетом стоимости МКР (без  вкладыша)</v>
      </c>
      <c r="C8" s="219">
        <f>'расчет цен и скидок'!C8</f>
        <v>0</v>
      </c>
      <c r="D8" s="219">
        <f>'расчет цен и скидок'!D8</f>
        <v>0</v>
      </c>
      <c r="E8" s="219">
        <f>'расчет цен и скидок'!E8</f>
        <v>0</v>
      </c>
      <c r="F8" s="219">
        <f>'расчет цен и скидок'!F8</f>
        <v>0</v>
      </c>
      <c r="G8" s="219">
        <f>'расчет цен и скидок'!G8</f>
        <v>0</v>
      </c>
      <c r="H8" s="219">
        <f>'расчет цен и скидок'!H8</f>
        <v>0</v>
      </c>
      <c r="I8" s="219">
        <f>'расчет цен и скидок'!I8</f>
        <v>0</v>
      </c>
      <c r="J8" s="219">
        <f>'расчет цен и скидок'!J8</f>
        <v>0</v>
      </c>
      <c r="K8" s="220">
        <f>'расчет цен и скидок'!K8</f>
        <v>2620</v>
      </c>
      <c r="L8" s="220">
        <f>'расчет цен и скидок'!L8</f>
        <v>3091.6</v>
      </c>
      <c r="M8" s="220">
        <f>'расчет цен и скидок'!M8</f>
        <v>0</v>
      </c>
      <c r="N8" s="221">
        <f>'расчет цен и скидок'!N8</f>
        <v>3144</v>
      </c>
      <c r="O8" s="221">
        <f>'расчет цен и скидок'!O8</f>
        <v>3709.9199999999996</v>
      </c>
      <c r="P8" s="235">
        <f>'расчет цен и скидок'!P8</f>
        <v>3100</v>
      </c>
      <c r="Q8" s="243">
        <f>'расчет цен и скидок'!Q8</f>
        <v>558</v>
      </c>
      <c r="R8" s="282">
        <f>'расчет цен и скидок'!R8</f>
        <v>3658</v>
      </c>
      <c r="S8" s="223">
        <f>'расчет цен и скидок'!S8</f>
        <v>0.2</v>
      </c>
      <c r="T8" s="224">
        <f>'расчет цен и скидок'!T8</f>
        <v>0.18320610687022904</v>
      </c>
      <c r="U8" s="291">
        <f>'расчет цен и скидок'!U8</f>
        <v>0.03</v>
      </c>
      <c r="V8" s="292">
        <f>'расчет цен и скидок'!V8</f>
        <v>3211.5</v>
      </c>
      <c r="W8" s="292">
        <f>'расчет цен и скидок'!W8</f>
        <v>3210</v>
      </c>
      <c r="X8" s="292">
        <f>'расчет цен и скидок'!X8</f>
        <v>3787.7999999999997</v>
      </c>
      <c r="Y8" s="314">
        <f>'расчет цен и скидок'!Y8</f>
        <v>0</v>
      </c>
      <c r="Z8" s="311">
        <f>'расчет цен и скидок'!Z8</f>
        <v>0.08</v>
      </c>
      <c r="AA8" s="302">
        <f>'расчет цен и скидок'!AA8</f>
        <v>3114</v>
      </c>
      <c r="AB8" s="302">
        <f>'расчет цен и скидок'!AB8</f>
        <v>3202.52</v>
      </c>
      <c r="AC8" s="227">
        <f>'расчет цен и скидок'!AC8</f>
        <v>0</v>
      </c>
      <c r="AD8" s="228">
        <f>'расчет цен и скидок'!AD8</f>
        <v>0</v>
      </c>
      <c r="AE8" s="228">
        <f>'расчет цен и скидок'!AE8</f>
        <v>0</v>
      </c>
      <c r="AF8" s="228">
        <f>'расчет цен и скидок'!AF8</f>
        <v>0</v>
      </c>
      <c r="AG8" s="228">
        <f>'расчет цен и скидок'!AG8</f>
        <v>0</v>
      </c>
      <c r="AH8" s="228">
        <f>'расчет цен и скидок'!AH8</f>
        <v>0</v>
      </c>
      <c r="AI8" s="228">
        <f>'расчет цен и скидок'!AI8</f>
        <v>0</v>
      </c>
      <c r="AJ8" s="229">
        <f>'расчет цен и скидок'!AJ8</f>
        <v>0</v>
      </c>
      <c r="AK8" s="227">
        <f>'расчет цен и скидок'!AK8</f>
        <v>0</v>
      </c>
      <c r="AL8" s="228">
        <f>'расчет цен и скидок'!AL8</f>
        <v>0</v>
      </c>
      <c r="AM8" s="228">
        <f>'расчет цен и скидок'!AM8</f>
        <v>0</v>
      </c>
      <c r="AN8" s="228">
        <f>'расчет цен и скидок'!AN8</f>
        <v>0</v>
      </c>
      <c r="AO8" s="227">
        <f>'расчет цен и скидок'!AO8</f>
        <v>0</v>
      </c>
      <c r="AP8" s="228">
        <f>'расчет цен и скидок'!AP8</f>
        <v>0</v>
      </c>
      <c r="AQ8" s="228">
        <f>'расчет цен и скидок'!AQ8</f>
        <v>0</v>
      </c>
      <c r="AR8" s="228">
        <f>'расчет цен и скидок'!AR8</f>
        <v>0</v>
      </c>
      <c r="AS8" s="227">
        <f>'расчет цен и скидок'!AS8</f>
        <v>0</v>
      </c>
      <c r="AT8" s="228">
        <f>'расчет цен и скидок'!AT8</f>
        <v>0</v>
      </c>
      <c r="AU8" s="228">
        <f>'расчет цен и скидок'!AU8</f>
        <v>0</v>
      </c>
      <c r="AV8" s="228">
        <f>'расчет цен и скидок'!AV8</f>
        <v>0</v>
      </c>
      <c r="AW8" s="227">
        <f>'расчет цен и скидок'!AW8</f>
        <v>0</v>
      </c>
      <c r="AX8" s="228">
        <f>'расчет цен и скидок'!AX8</f>
        <v>0</v>
      </c>
      <c r="AY8" s="230">
        <f>'расчет цен и скидок'!AY8</f>
        <v>0</v>
      </c>
      <c r="AZ8" s="227">
        <f>'расчет цен и скидок'!AZ8</f>
        <v>0</v>
      </c>
      <c r="BA8" s="228">
        <f>'расчет цен и скидок'!BA8</f>
        <v>0</v>
      </c>
      <c r="BB8" s="230">
        <f>'расчет цен и скидок'!BB8</f>
        <v>0</v>
      </c>
      <c r="BC8" s="227">
        <f>'расчет цен и скидок'!BC8</f>
        <v>0</v>
      </c>
      <c r="BD8" s="230">
        <f>'расчет цен и скидок'!BD8</f>
        <v>0</v>
      </c>
      <c r="BE8" s="230">
        <f>'расчет цен и скидок'!BE8</f>
        <v>0</v>
      </c>
      <c r="BF8" s="218">
        <f>'расчет цен и скидок'!BF8</f>
        <v>0</v>
      </c>
      <c r="BG8" s="228">
        <f>'расчет цен и скидок'!BG8</f>
        <v>0</v>
      </c>
      <c r="BH8" s="230">
        <f>'расчет цен и скидок'!BH8</f>
        <v>0</v>
      </c>
      <c r="BI8" s="227">
        <f>'расчет цен и скидок'!BI8</f>
        <v>0</v>
      </c>
      <c r="BJ8" s="228">
        <f>'расчет цен и скидок'!BJ8</f>
        <v>0</v>
      </c>
      <c r="BK8" s="230">
        <f>'расчет цен и скидок'!BK8</f>
        <v>0</v>
      </c>
      <c r="BL8" s="230">
        <f>'расчет цен и скидок'!BL8</f>
        <v>0</v>
      </c>
      <c r="BM8" s="230">
        <f>'расчет цен и скидок'!BM8</f>
        <v>0</v>
      </c>
      <c r="BN8" s="230">
        <f>'расчет цен и скидок'!BN8</f>
        <v>0</v>
      </c>
      <c r="BO8" s="230">
        <f>'расчет цен и скидок'!BO8</f>
        <v>0</v>
      </c>
      <c r="BP8" s="230">
        <f>'расчет цен и скидок'!BP8</f>
        <v>0</v>
      </c>
      <c r="BQ8" s="230">
        <f>'расчет цен и скидок'!BQ8</f>
        <v>0</v>
      </c>
      <c r="BR8" s="230">
        <f>'расчет цен и скидок'!BR8</f>
        <v>0</v>
      </c>
      <c r="BS8" s="230">
        <f>'расчет цен и скидок'!BS8</f>
        <v>0</v>
      </c>
      <c r="BT8" s="230">
        <f>'расчет цен и скидок'!BT8</f>
        <v>0</v>
      </c>
      <c r="BU8" s="230">
        <f>'расчет цен и скидок'!BU8</f>
        <v>0</v>
      </c>
      <c r="BV8" s="230">
        <f>'расчет цен и скидок'!BV8</f>
        <v>0</v>
      </c>
      <c r="BW8" s="230">
        <f>'расчет цен и скидок'!BW8</f>
        <v>0</v>
      </c>
      <c r="BX8" s="230">
        <f>'расчет цен и скидок'!BX8</f>
        <v>0</v>
      </c>
      <c r="BY8" s="230">
        <f>'расчет цен и скидок'!BY8</f>
        <v>0</v>
      </c>
      <c r="BZ8" s="230">
        <f>'расчет цен и скидок'!BZ8</f>
        <v>0</v>
      </c>
      <c r="CA8" s="230">
        <f>'расчет цен и скидок'!CA8</f>
        <v>0</v>
      </c>
      <c r="CB8" s="230">
        <f>'расчет цен и скидок'!CB8</f>
        <v>0</v>
      </c>
      <c r="CC8" s="230">
        <f>'расчет цен и скидок'!CC8</f>
        <v>0</v>
      </c>
      <c r="CD8" s="230">
        <f>'расчет цен и скидок'!CD8</f>
        <v>0</v>
      </c>
      <c r="CE8" s="230">
        <f>'расчет цен и скидок'!CE8</f>
        <v>0</v>
      </c>
      <c r="CF8" s="230">
        <f>'расчет цен и скидок'!CF8</f>
        <v>0</v>
      </c>
      <c r="CG8" s="230">
        <f>'расчет цен и скидок'!CG8</f>
        <v>0</v>
      </c>
      <c r="CH8" s="230">
        <f>'расчет цен и скидок'!CH8</f>
        <v>0</v>
      </c>
      <c r="CI8" s="230">
        <f>'расчет цен и скидок'!CI8</f>
        <v>0</v>
      </c>
      <c r="CJ8" s="230">
        <f>'расчет цен и скидок'!CJ8</f>
        <v>0</v>
      </c>
      <c r="CK8" s="230">
        <f>'расчет цен и скидок'!CK8</f>
        <v>0</v>
      </c>
      <c r="CL8" s="230">
        <f>'расчет цен и скидок'!CL8</f>
        <v>0</v>
      </c>
      <c r="CM8" s="230">
        <f>'расчет цен и скидок'!CM8</f>
        <v>0</v>
      </c>
      <c r="CN8" s="230">
        <f>'расчет цен и скидок'!CN8</f>
        <v>0</v>
      </c>
    </row>
    <row r="9" spans="1:92" ht="15.75">
      <c r="A9" s="279" t="str">
        <f>'расчет цен и скидок'!A9</f>
        <v>ЗШБУ кл.1-3</v>
      </c>
      <c r="B9" s="308" t="str">
        <f>'расчет цен и скидок'!B9</f>
        <v>навалом</v>
      </c>
      <c r="C9" s="219">
        <f>'расчет цен и скидок'!C9</f>
        <v>0</v>
      </c>
      <c r="D9" s="219">
        <f>'расчет цен и скидок'!D9</f>
        <v>0</v>
      </c>
      <c r="E9" s="219">
        <f>'расчет цен и скидок'!E9</f>
        <v>0</v>
      </c>
      <c r="F9" s="219">
        <f>'расчет цен и скидок'!F9</f>
        <v>0</v>
      </c>
      <c r="G9" s="219">
        <f>'расчет цен и скидок'!G9</f>
        <v>0</v>
      </c>
      <c r="H9" s="219">
        <f>'расчет цен и скидок'!H9</f>
        <v>0</v>
      </c>
      <c r="I9" s="219">
        <f>'расчет цен и скидок'!I9</f>
        <v>0</v>
      </c>
      <c r="J9" s="219">
        <f>'расчет цен и скидок'!J9</f>
        <v>0</v>
      </c>
      <c r="K9" s="221">
        <f>'расчет цен и скидок'!K9</f>
        <v>2300</v>
      </c>
      <c r="L9" s="221">
        <f>'расчет цен и скидок'!L9</f>
        <v>2714</v>
      </c>
      <c r="M9" s="221">
        <f>'расчет цен и скидок'!M9</f>
        <v>0</v>
      </c>
      <c r="N9" s="221" t="str">
        <f>'расчет цен и скидок'!N9</f>
        <v>x</v>
      </c>
      <c r="O9" s="221" t="str">
        <f>'расчет цен и скидок'!O9</f>
        <v>x</v>
      </c>
      <c r="P9" s="232" t="str">
        <f>'расчет цен и скидок'!P9</f>
        <v>x</v>
      </c>
      <c r="Q9" s="233" t="str">
        <f>'расчет цен и скидок'!Q9</f>
        <v>x</v>
      </c>
      <c r="R9" s="234" t="str">
        <f>'расчет цен и скидок'!R9</f>
        <v>x</v>
      </c>
      <c r="S9" s="223">
        <f>'расчет цен и скидок'!S9</f>
        <v>0.2</v>
      </c>
      <c r="T9" s="224" t="str">
        <f>'расчет цен и скидок'!T9</f>
        <v>x</v>
      </c>
      <c r="U9" s="250"/>
      <c r="Z9" s="311"/>
      <c r="AA9" s="302"/>
      <c r="AB9" s="302"/>
      <c r="AC9" s="227">
        <f>'расчет цен и скидок'!AC9</f>
        <v>0</v>
      </c>
      <c r="AD9" s="228">
        <f>'расчет цен и скидок'!AD9</f>
        <v>0</v>
      </c>
      <c r="AE9" s="228">
        <f>'расчет цен и скидок'!AE9</f>
        <v>0</v>
      </c>
      <c r="AF9" s="228">
        <f>'расчет цен и скидок'!AF9</f>
        <v>0</v>
      </c>
      <c r="AG9" s="228">
        <f>'расчет цен и скидок'!AG9</f>
        <v>0</v>
      </c>
      <c r="AH9" s="228">
        <f>'расчет цен и скидок'!AH9</f>
        <v>0</v>
      </c>
      <c r="AI9" s="228">
        <f>'расчет цен и скидок'!AI9</f>
        <v>0</v>
      </c>
      <c r="AJ9" s="229" t="e">
        <f>'расчет цен и скидок'!AJ9</f>
        <v>#DIV/0!</v>
      </c>
      <c r="AK9" s="227">
        <f>'расчет цен и скидок'!AK9</f>
        <v>0</v>
      </c>
      <c r="AL9" s="228">
        <f>'расчет цен и скидок'!AL9</f>
        <v>0</v>
      </c>
      <c r="AM9" s="228">
        <f>'расчет цен и скидок'!AM9</f>
        <v>0</v>
      </c>
      <c r="AN9" s="228">
        <f>'расчет цен и скидок'!AN9</f>
        <v>0</v>
      </c>
      <c r="AO9" s="227">
        <f>'расчет цен и скидок'!AO9</f>
        <v>0</v>
      </c>
      <c r="AP9" s="228">
        <f>'расчет цен и скидок'!AP9</f>
        <v>0</v>
      </c>
      <c r="AQ9" s="228">
        <f>'расчет цен и скидок'!AQ9</f>
        <v>0</v>
      </c>
      <c r="AR9" s="228">
        <f>'расчет цен и скидок'!AR9</f>
        <v>0</v>
      </c>
      <c r="AS9" s="227">
        <f>'расчет цен и скидок'!AS9</f>
        <v>0</v>
      </c>
      <c r="AT9" s="228">
        <f>'расчет цен и скидок'!AT9</f>
        <v>2118.64406779661</v>
      </c>
      <c r="AU9" s="228">
        <f>'расчет цен и скидок'!AU9</f>
        <v>0</v>
      </c>
      <c r="AV9" s="228">
        <f>'расчет цен и скидок'!AV9</f>
        <v>0</v>
      </c>
      <c r="AW9" s="227">
        <f>'расчет цен и скидок'!AW9</f>
        <v>0</v>
      </c>
      <c r="AX9" s="228">
        <f>'расчет цен и скидок'!AX9</f>
        <v>0</v>
      </c>
      <c r="AY9" s="230">
        <f>'расчет цен и скидок'!AY9</f>
        <v>0</v>
      </c>
      <c r="AZ9" s="227">
        <f>'расчет цен и скидок'!AZ9</f>
        <v>0</v>
      </c>
      <c r="BA9" s="228">
        <f>'расчет цен и скидок'!BA9</f>
        <v>0</v>
      </c>
      <c r="BB9" s="230">
        <f>'расчет цен и скидок'!BB9</f>
        <v>0</v>
      </c>
      <c r="BC9" s="227">
        <f>'расчет цен и скидок'!BC9</f>
        <v>0</v>
      </c>
      <c r="BD9" s="230">
        <f>'расчет цен и скидок'!BD9</f>
        <v>0</v>
      </c>
      <c r="BE9" s="230">
        <f>'расчет цен и скидок'!BE9</f>
        <v>0</v>
      </c>
      <c r="BF9" s="218">
        <f>'расчет цен и скидок'!BF9</f>
        <v>0</v>
      </c>
      <c r="BG9" s="228">
        <f>'расчет цен и скидок'!BG9</f>
        <v>0</v>
      </c>
      <c r="BH9" s="230">
        <f>'расчет цен и скидок'!BH9</f>
        <v>0</v>
      </c>
      <c r="BI9" s="227">
        <f>'расчет цен и скидок'!BI9</f>
        <v>0</v>
      </c>
      <c r="BJ9" s="228">
        <f>'расчет цен и скидок'!BJ9</f>
        <v>0</v>
      </c>
      <c r="BK9" s="230">
        <f>'расчет цен и скидок'!BK9</f>
        <v>0</v>
      </c>
      <c r="BL9" s="230">
        <f>'расчет цен и скидок'!BL9</f>
        <v>0</v>
      </c>
      <c r="BM9" s="230">
        <f>'расчет цен и скидок'!BM9</f>
        <v>0</v>
      </c>
      <c r="BN9" s="230">
        <f>'расчет цен и скидок'!BN9</f>
        <v>0</v>
      </c>
      <c r="BO9" s="230">
        <f>'расчет цен и скидок'!BO9</f>
        <v>0</v>
      </c>
      <c r="BP9" s="230">
        <f>'расчет цен и скидок'!BP9</f>
        <v>0</v>
      </c>
      <c r="BQ9" s="230">
        <f>'расчет цен и скидок'!BQ9</f>
        <v>0</v>
      </c>
      <c r="BR9" s="230">
        <f>'расчет цен и скидок'!BR9</f>
        <v>0</v>
      </c>
      <c r="BS9" s="230">
        <f>'расчет цен и скидок'!BS9</f>
        <v>0</v>
      </c>
      <c r="BT9" s="230">
        <f>'расчет цен и скидок'!BT9</f>
        <v>0</v>
      </c>
      <c r="BU9" s="230">
        <f>'расчет цен и скидок'!BU9</f>
        <v>0</v>
      </c>
      <c r="BV9" s="230">
        <f>'расчет цен и скидок'!BV9</f>
        <v>0</v>
      </c>
      <c r="BW9" s="230">
        <f>'расчет цен и скидок'!BW9</f>
        <v>0</v>
      </c>
      <c r="BX9" s="230">
        <f>'расчет цен и скидок'!BX9</f>
        <v>0</v>
      </c>
      <c r="BY9" s="230">
        <f>'расчет цен и скидок'!BY9</f>
        <v>0</v>
      </c>
      <c r="BZ9" s="230">
        <f>'расчет цен и скидок'!BZ9</f>
        <v>0</v>
      </c>
      <c r="CA9" s="230">
        <f>'расчет цен и скидок'!CA9</f>
        <v>0</v>
      </c>
      <c r="CB9" s="230">
        <f>'расчет цен и скидок'!CB9</f>
        <v>0</v>
      </c>
      <c r="CC9" s="230">
        <f>'расчет цен и скидок'!CC9</f>
        <v>0</v>
      </c>
      <c r="CD9" s="230">
        <f>'расчет цен и скидок'!CD9</f>
        <v>0</v>
      </c>
      <c r="CE9" s="230">
        <f>'расчет цен и скидок'!CE9</f>
        <v>0</v>
      </c>
      <c r="CF9" s="230">
        <f>'расчет цен и скидок'!CF9</f>
        <v>0</v>
      </c>
      <c r="CG9" s="230">
        <f>'расчет цен и скидок'!CG9</f>
        <v>0</v>
      </c>
      <c r="CH9" s="230">
        <f>'расчет цен и скидок'!CH9</f>
        <v>0</v>
      </c>
      <c r="CI9" s="230">
        <f>'расчет цен и скидок'!CI9</f>
        <v>0</v>
      </c>
      <c r="CJ9" s="230">
        <f>'расчет цен и скидок'!CJ9</f>
        <v>0</v>
      </c>
      <c r="CK9" s="230">
        <f>'расчет цен и скидок'!CK9</f>
        <v>0</v>
      </c>
      <c r="CL9" s="230">
        <f>'расчет цен и скидок'!CL9</f>
        <v>0</v>
      </c>
      <c r="CM9" s="230">
        <f>'расчет цен и скидок'!CM9</f>
        <v>0</v>
      </c>
      <c r="CN9" s="230">
        <f>'расчет цен и скидок'!CN9</f>
        <v>0</v>
      </c>
    </row>
    <row r="10" spans="2:92" ht="15.75">
      <c r="B10" s="308"/>
      <c r="C10" s="219">
        <f>'расчет цен и скидок'!C10</f>
        <v>0</v>
      </c>
      <c r="D10" s="219">
        <f>'расчет цен и скидок'!D10</f>
        <v>0</v>
      </c>
      <c r="E10" s="219">
        <f>'расчет цен и скидок'!E10</f>
        <v>0</v>
      </c>
      <c r="F10" s="219">
        <f>'расчет цен и скидок'!F10</f>
        <v>0</v>
      </c>
      <c r="G10" s="219">
        <f>'расчет цен и скидок'!G10</f>
        <v>0</v>
      </c>
      <c r="H10" s="219">
        <f>'расчет цен и скидок'!H10</f>
        <v>0</v>
      </c>
      <c r="I10" s="219">
        <f>'расчет цен и скидок'!I10</f>
        <v>0</v>
      </c>
      <c r="J10" s="219">
        <f>'расчет цен и скидок'!J10</f>
        <v>0</v>
      </c>
      <c r="K10" s="221">
        <f>'расчет цен и скидок'!K10</f>
        <v>0</v>
      </c>
      <c r="L10" s="221">
        <f>'расчет цен и скидок'!L10</f>
        <v>0</v>
      </c>
      <c r="M10" s="221">
        <f>'расчет цен и скидок'!M10</f>
        <v>0</v>
      </c>
      <c r="N10" s="221">
        <f>'расчет цен и скидок'!N10</f>
        <v>0</v>
      </c>
      <c r="O10" s="221">
        <f>'расчет цен и скидок'!O10</f>
        <v>0</v>
      </c>
      <c r="P10" s="232">
        <f>'расчет цен и скидок'!P10</f>
        <v>0</v>
      </c>
      <c r="Q10" s="233">
        <f>'расчет цен и скидок'!Q10</f>
        <v>0</v>
      </c>
      <c r="R10" s="234">
        <f>'расчет цен и скидок'!R10</f>
        <v>0</v>
      </c>
      <c r="S10" s="223">
        <f>'расчет цен и скидок'!S10</f>
        <v>0</v>
      </c>
      <c r="T10" s="224">
        <f>'расчет цен и скидок'!T10</f>
        <v>0</v>
      </c>
      <c r="U10" s="250"/>
      <c r="Z10" s="311"/>
      <c r="AA10" s="302"/>
      <c r="AB10" s="302"/>
      <c r="AC10" s="227">
        <f>'расчет цен и скидок'!AC10</f>
        <v>0</v>
      </c>
      <c r="AD10" s="228">
        <f>'расчет цен и скидок'!AD10</f>
        <v>0</v>
      </c>
      <c r="AE10" s="228">
        <f>'расчет цен и скидок'!AE10</f>
        <v>0</v>
      </c>
      <c r="AF10" s="228">
        <f>'расчет цен и скидок'!AF10</f>
        <v>0</v>
      </c>
      <c r="AG10" s="228">
        <f>'расчет цен и скидок'!AG10</f>
        <v>0</v>
      </c>
      <c r="AH10" s="228">
        <f>'расчет цен и скидок'!AH10</f>
        <v>0</v>
      </c>
      <c r="AI10" s="228">
        <f>'расчет цен и скидок'!AI10</f>
        <v>0</v>
      </c>
      <c r="AJ10" s="229" t="e">
        <f>'расчет цен и скидок'!AJ10</f>
        <v>#DIV/0!</v>
      </c>
      <c r="AK10" s="227">
        <f>'расчет цен и скидок'!AK10</f>
        <v>0</v>
      </c>
      <c r="AL10" s="228">
        <f>'расчет цен и скидок'!AL10</f>
        <v>0</v>
      </c>
      <c r="AM10" s="228">
        <f>'расчет цен и скидок'!AM10</f>
        <v>0</v>
      </c>
      <c r="AN10" s="228">
        <f>'расчет цен и скидок'!AN10</f>
        <v>0</v>
      </c>
      <c r="AO10" s="227">
        <f>'расчет цен и скидок'!AO10</f>
        <v>0</v>
      </c>
      <c r="AP10" s="228">
        <f>'расчет цен и скидок'!AP10</f>
        <v>0</v>
      </c>
      <c r="AQ10" s="228">
        <f>'расчет цен и скидок'!AQ10</f>
        <v>0</v>
      </c>
      <c r="AR10" s="228">
        <f>'расчет цен и скидок'!AR10</f>
        <v>0</v>
      </c>
      <c r="AS10" s="227">
        <f>'расчет цен и скидок'!AS10</f>
        <v>0</v>
      </c>
      <c r="AT10" s="228">
        <f>'расчет цен и скидок'!AT10</f>
        <v>0</v>
      </c>
      <c r="AU10" s="228">
        <f>'расчет цен и скидок'!AU10</f>
        <v>0</v>
      </c>
      <c r="AV10" s="228">
        <f>'расчет цен и скидок'!AV10</f>
        <v>0</v>
      </c>
      <c r="AW10" s="227">
        <f>'расчет цен и скидок'!AW10</f>
        <v>0</v>
      </c>
      <c r="AX10" s="228">
        <f>'расчет цен и скидок'!AX10</f>
        <v>0</v>
      </c>
      <c r="AY10" s="230">
        <f>'расчет цен и скидок'!AY10</f>
        <v>0</v>
      </c>
      <c r="AZ10" s="227">
        <f>'расчет цен и скидок'!AZ10</f>
        <v>0</v>
      </c>
      <c r="BA10" s="228">
        <f>'расчет цен и скидок'!BA10</f>
        <v>0</v>
      </c>
      <c r="BB10" s="230">
        <f>'расчет цен и скидок'!BB10</f>
        <v>0</v>
      </c>
      <c r="BC10" s="227">
        <f>'расчет цен и скидок'!BC10</f>
        <v>0</v>
      </c>
      <c r="BD10" s="230">
        <f>'расчет цен и скидок'!BD10</f>
        <v>0</v>
      </c>
      <c r="BE10" s="230">
        <f>'расчет цен и скидок'!BE10</f>
        <v>0</v>
      </c>
      <c r="BF10" s="218">
        <f>'расчет цен и скидок'!BF10</f>
        <v>0</v>
      </c>
      <c r="BG10" s="228">
        <f>'расчет цен и скидок'!BG10</f>
        <v>0</v>
      </c>
      <c r="BH10" s="230">
        <f>'расчет цен и скидок'!BH10</f>
        <v>0</v>
      </c>
      <c r="BI10" s="227">
        <f>'расчет цен и скидок'!BI10</f>
        <v>0</v>
      </c>
      <c r="BJ10" s="228">
        <f>'расчет цен и скидок'!BJ10</f>
        <v>0</v>
      </c>
      <c r="BK10" s="230">
        <f>'расчет цен и скидок'!BK10</f>
        <v>0</v>
      </c>
      <c r="BL10" s="230">
        <f>'расчет цен и скидок'!BL10</f>
        <v>0</v>
      </c>
      <c r="BM10" s="230">
        <f>'расчет цен и скидок'!BM10</f>
        <v>0</v>
      </c>
      <c r="BN10" s="230">
        <f>'расчет цен и скидок'!BN10</f>
        <v>0</v>
      </c>
      <c r="BO10" s="230">
        <f>'расчет цен и скидок'!BO10</f>
        <v>0</v>
      </c>
      <c r="BP10" s="230">
        <f>'расчет цен и скидок'!BP10</f>
        <v>0</v>
      </c>
      <c r="BQ10" s="230">
        <f>'расчет цен и скидок'!BQ10</f>
        <v>0</v>
      </c>
      <c r="BR10" s="230">
        <f>'расчет цен и скидок'!BR10</f>
        <v>0</v>
      </c>
      <c r="BS10" s="230">
        <f>'расчет цен и скидок'!BS10</f>
        <v>0</v>
      </c>
      <c r="BT10" s="230">
        <f>'расчет цен и скидок'!BT10</f>
        <v>0</v>
      </c>
      <c r="BU10" s="230">
        <f>'расчет цен и скидок'!BU10</f>
        <v>0</v>
      </c>
      <c r="BV10" s="230">
        <f>'расчет цен и скидок'!BV10</f>
        <v>0</v>
      </c>
      <c r="BW10" s="230">
        <f>'расчет цен и скидок'!BW10</f>
        <v>0</v>
      </c>
      <c r="BX10" s="230">
        <f>'расчет цен и скидок'!BX10</f>
        <v>0</v>
      </c>
      <c r="BY10" s="230">
        <f>'расчет цен и скидок'!BY10</f>
        <v>0</v>
      </c>
      <c r="BZ10" s="230">
        <f>'расчет цен и скидок'!BZ10</f>
        <v>0</v>
      </c>
      <c r="CA10" s="230">
        <f>'расчет цен и скидок'!CA10</f>
        <v>0</v>
      </c>
      <c r="CB10" s="230">
        <f>'расчет цен и скидок'!CB10</f>
        <v>0</v>
      </c>
      <c r="CC10" s="230">
        <f>'расчет цен и скидок'!CC10</f>
        <v>0</v>
      </c>
      <c r="CD10" s="230">
        <f>'расчет цен и скидок'!CD10</f>
        <v>0</v>
      </c>
      <c r="CE10" s="230">
        <f>'расчет цен и скидок'!CE10</f>
        <v>0</v>
      </c>
      <c r="CF10" s="230">
        <f>'расчет цен и скидок'!CF10</f>
        <v>0</v>
      </c>
      <c r="CG10" s="230">
        <f>'расчет цен и скидок'!CG10</f>
        <v>0</v>
      </c>
      <c r="CH10" s="230">
        <f>'расчет цен и скидок'!CH10</f>
        <v>0</v>
      </c>
      <c r="CI10" s="230">
        <f>'расчет цен и скидок'!CI10</f>
        <v>0</v>
      </c>
      <c r="CJ10" s="230">
        <f>'расчет цен и скидок'!CJ10</f>
        <v>0</v>
      </c>
      <c r="CK10" s="230">
        <f>'расчет цен и скидок'!CK10</f>
        <v>0</v>
      </c>
      <c r="CL10" s="230">
        <f>'расчет цен и скидок'!CL10</f>
        <v>0</v>
      </c>
      <c r="CM10" s="230">
        <f>'расчет цен и скидок'!CM10</f>
        <v>0</v>
      </c>
      <c r="CN10" s="230">
        <f>'расчет цен и скидок'!CN10</f>
        <v>0</v>
      </c>
    </row>
    <row r="11" spans="1:92" ht="15.75">
      <c r="A11" s="279" t="str">
        <f>'расчет цен и скидок'!A11</f>
        <v>ЗШБУ кл.5,4</v>
      </c>
      <c r="B11" s="308" t="str">
        <f>'расчет цен и скидок'!B11</f>
        <v>вагонные поставки</v>
      </c>
      <c r="C11" s="219">
        <f>'расчет цен и скидок'!C11</f>
        <v>0</v>
      </c>
      <c r="D11" s="219">
        <f>'расчет цен и скидок'!D11</f>
        <v>0</v>
      </c>
      <c r="E11" s="219">
        <f>'расчет цен и скидок'!E11</f>
        <v>0</v>
      </c>
      <c r="F11" s="219">
        <f>'расчет цен и скидок'!F11</f>
        <v>0</v>
      </c>
      <c r="G11" s="219">
        <f>'расчет цен и скидок'!G11</f>
        <v>0</v>
      </c>
      <c r="H11" s="219">
        <f>'расчет цен и скидок'!H11</f>
        <v>0</v>
      </c>
      <c r="I11" s="219">
        <f>'расчет цен и скидок'!I11</f>
        <v>0</v>
      </c>
      <c r="J11" s="219">
        <f>'расчет цен и скидок'!J11</f>
        <v>0</v>
      </c>
      <c r="K11" s="221">
        <f>'расчет цен и скидок'!K11</f>
        <v>2350</v>
      </c>
      <c r="L11" s="221">
        <f>'расчет цен и скидок'!L11</f>
        <v>2773</v>
      </c>
      <c r="M11" s="221">
        <f>'расчет цен и скидок'!M11</f>
        <v>0</v>
      </c>
      <c r="N11" s="221" t="str">
        <f>'расчет цен и скидок'!N11</f>
        <v>x</v>
      </c>
      <c r="O11" s="221" t="str">
        <f>'расчет цен и скидок'!O11</f>
        <v>x</v>
      </c>
      <c r="P11" s="232" t="str">
        <f>'расчет цен и скидок'!P11</f>
        <v>x</v>
      </c>
      <c r="Q11" s="233" t="str">
        <f>'расчет цен и скидок'!Q11</f>
        <v>x</v>
      </c>
      <c r="R11" s="234" t="str">
        <f>'расчет цен и скидок'!R11</f>
        <v>x</v>
      </c>
      <c r="S11" s="223">
        <f>'расчет цен и скидок'!S11</f>
        <v>0.15</v>
      </c>
      <c r="T11" s="224" t="str">
        <f>'расчет цен и скидок'!T11</f>
        <v>x</v>
      </c>
      <c r="U11" s="250"/>
      <c r="Z11" s="311"/>
      <c r="AA11" s="302"/>
      <c r="AB11" s="302"/>
      <c r="AC11" s="227">
        <f>'расчет цен и скидок'!AC11</f>
        <v>0</v>
      </c>
      <c r="AD11" s="228">
        <f>'расчет цен и скидок'!AD11</f>
        <v>0</v>
      </c>
      <c r="AE11" s="228">
        <f>'расчет цен и скидок'!AE11</f>
        <v>0</v>
      </c>
      <c r="AF11" s="228">
        <f>'расчет цен и скидок'!AF11</f>
        <v>0</v>
      </c>
      <c r="AG11" s="228">
        <f>'расчет цен и скидок'!AG11</f>
        <v>0</v>
      </c>
      <c r="AH11" s="228">
        <f>'расчет цен и скидок'!AH11</f>
        <v>0</v>
      </c>
      <c r="AI11" s="228">
        <f>'расчет цен и скидок'!AI11</f>
        <v>0</v>
      </c>
      <c r="AJ11" s="229" t="e">
        <f>'расчет цен и скидок'!AJ11</f>
        <v>#DIV/0!</v>
      </c>
      <c r="AK11" s="227">
        <f>'расчет цен и скидок'!AK11</f>
        <v>0</v>
      </c>
      <c r="AL11" s="228">
        <f>'расчет цен и скидок'!AL11</f>
        <v>0</v>
      </c>
      <c r="AM11" s="228">
        <f>'расчет цен и скидок'!AM11</f>
        <v>0</v>
      </c>
      <c r="AN11" s="228">
        <f>'расчет цен и скидок'!AN11</f>
        <v>0</v>
      </c>
      <c r="AO11" s="227">
        <f>'расчет цен и скидок'!AO11</f>
        <v>0</v>
      </c>
      <c r="AP11" s="228">
        <f>'расчет цен и скидок'!AP11</f>
        <v>0</v>
      </c>
      <c r="AQ11" s="228">
        <f>'расчет цен и скидок'!AQ11</f>
        <v>0</v>
      </c>
      <c r="AR11" s="228">
        <f>'расчет цен и скидок'!AR11</f>
        <v>0</v>
      </c>
      <c r="AS11" s="227">
        <f>'расчет цен и скидок'!AS11</f>
        <v>0</v>
      </c>
      <c r="AT11" s="228">
        <f>'расчет цен и скидок'!AT11</f>
        <v>0</v>
      </c>
      <c r="AU11" s="228">
        <f>'расчет цен и скидок'!AU11</f>
        <v>0</v>
      </c>
      <c r="AV11" s="228">
        <f>'расчет цен и скидок'!AV11</f>
        <v>0</v>
      </c>
      <c r="AW11" s="227">
        <f>'расчет цен и скидок'!AW11</f>
        <v>0</v>
      </c>
      <c r="AX11" s="228">
        <f>'расчет цен и скидок'!AX11</f>
        <v>0</v>
      </c>
      <c r="AY11" s="230">
        <f>'расчет цен и скидок'!AY11</f>
        <v>0</v>
      </c>
      <c r="AZ11" s="227">
        <f>'расчет цен и скидок'!AZ11</f>
        <v>0</v>
      </c>
      <c r="BA11" s="228">
        <f>'расчет цен и скидок'!BA11</f>
        <v>0</v>
      </c>
      <c r="BB11" s="230">
        <f>'расчет цен и скидок'!BB11</f>
        <v>0</v>
      </c>
      <c r="BC11" s="227">
        <f>'расчет цен и скидок'!BC11</f>
        <v>0</v>
      </c>
      <c r="BD11" s="230">
        <f>'расчет цен и скидок'!BD11</f>
        <v>0</v>
      </c>
      <c r="BE11" s="230">
        <f>'расчет цен и скидок'!BE11</f>
        <v>0</v>
      </c>
      <c r="BF11" s="218">
        <f>'расчет цен и скидок'!BF11</f>
        <v>0</v>
      </c>
      <c r="BG11" s="228">
        <f>'расчет цен и скидок'!BG11</f>
        <v>0</v>
      </c>
      <c r="BH11" s="230">
        <f>'расчет цен и скидок'!BH11</f>
        <v>0</v>
      </c>
      <c r="BI11" s="227">
        <f>'расчет цен и скидок'!BI11</f>
        <v>0</v>
      </c>
      <c r="BJ11" s="228">
        <f>'расчет цен и скидок'!BJ11</f>
        <v>0</v>
      </c>
      <c r="BK11" s="230">
        <f>'расчет цен и скидок'!BK11</f>
        <v>0</v>
      </c>
      <c r="BL11" s="230">
        <f>'расчет цен и скидок'!BL11</f>
        <v>0</v>
      </c>
      <c r="BM11" s="230">
        <f>'расчет цен и скидок'!BM11</f>
        <v>0</v>
      </c>
      <c r="BN11" s="230">
        <f>'расчет цен и скидок'!BN11</f>
        <v>0</v>
      </c>
      <c r="BO11" s="230">
        <f>'расчет цен и скидок'!BO11</f>
        <v>0</v>
      </c>
      <c r="BP11" s="230">
        <f>'расчет цен и скидок'!BP11</f>
        <v>0</v>
      </c>
      <c r="BQ11" s="230">
        <f>'расчет цен и скидок'!BQ11</f>
        <v>0</v>
      </c>
      <c r="BR11" s="230">
        <f>'расчет цен и скидок'!BR11</f>
        <v>0</v>
      </c>
      <c r="BS11" s="230">
        <f>'расчет цен и скидок'!BS11</f>
        <v>0</v>
      </c>
      <c r="BT11" s="230">
        <f>'расчет цен и скидок'!BT11</f>
        <v>0</v>
      </c>
      <c r="BU11" s="230">
        <f>'расчет цен и скидок'!BU11</f>
        <v>0</v>
      </c>
      <c r="BV11" s="230">
        <f>'расчет цен и скидок'!BV11</f>
        <v>0</v>
      </c>
      <c r="BW11" s="230">
        <f>'расчет цен и скидок'!BW11</f>
        <v>0</v>
      </c>
      <c r="BX11" s="230">
        <f>'расчет цен и скидок'!BX11</f>
        <v>0</v>
      </c>
      <c r="BY11" s="230">
        <f>'расчет цен и скидок'!BY11</f>
        <v>0</v>
      </c>
      <c r="BZ11" s="230">
        <f>'расчет цен и скидок'!BZ11</f>
        <v>0</v>
      </c>
      <c r="CA11" s="230">
        <f>'расчет цен и скидок'!CA11</f>
        <v>0</v>
      </c>
      <c r="CB11" s="230">
        <f>'расчет цен и скидок'!CB11</f>
        <v>0</v>
      </c>
      <c r="CC11" s="230">
        <f>'расчет цен и скидок'!CC11</f>
        <v>0</v>
      </c>
      <c r="CD11" s="230">
        <f>'расчет цен и скидок'!CD11</f>
        <v>0</v>
      </c>
      <c r="CE11" s="230">
        <f>'расчет цен и скидок'!CE11</f>
        <v>0</v>
      </c>
      <c r="CF11" s="230">
        <f>'расчет цен и скидок'!CF11</f>
        <v>0</v>
      </c>
      <c r="CG11" s="230">
        <f>'расчет цен и скидок'!CG11</f>
        <v>0</v>
      </c>
      <c r="CH11" s="230">
        <f>'расчет цен и скидок'!CH11</f>
        <v>0</v>
      </c>
      <c r="CI11" s="230">
        <f>'расчет цен и скидок'!CI11</f>
        <v>0</v>
      </c>
      <c r="CJ11" s="230">
        <f>'расчет цен и скидок'!CJ11</f>
        <v>0</v>
      </c>
      <c r="CK11" s="230">
        <f>'расчет цен и скидок'!CK11</f>
        <v>0</v>
      </c>
      <c r="CL11" s="230">
        <f>'расчет цен и скидок'!CL11</f>
        <v>0</v>
      </c>
      <c r="CM11" s="230">
        <f>'расчет цен и скидок'!CM11</f>
        <v>0</v>
      </c>
      <c r="CN11" s="230">
        <f>'расчет цен и скидок'!CN11</f>
        <v>0</v>
      </c>
    </row>
    <row r="12" spans="1:92" ht="15.75">
      <c r="A12" s="279" t="str">
        <f>'расчет цен и скидок'!A12</f>
        <v>ЗШБУ кл.5,4</v>
      </c>
      <c r="B12" s="308" t="str">
        <f>'расчет цен и скидок'!B12</f>
        <v>м/т по 50 кг</v>
      </c>
      <c r="C12" s="219">
        <f>'расчет цен и скидок'!C12</f>
        <v>0</v>
      </c>
      <c r="D12" s="219">
        <f>'расчет цен и скидок'!D12</f>
        <v>0</v>
      </c>
      <c r="E12" s="219">
        <f>'расчет цен и скидок'!E12</f>
        <v>0</v>
      </c>
      <c r="F12" s="219">
        <f>'расчет цен и скидок'!F12</f>
        <v>0</v>
      </c>
      <c r="G12" s="219">
        <f>'расчет цен и скидок'!G12</f>
        <v>0</v>
      </c>
      <c r="H12" s="219">
        <f>'расчет цен и скидок'!H12</f>
        <v>0</v>
      </c>
      <c r="I12" s="219">
        <f>'расчет цен и скидок'!I12</f>
        <v>0</v>
      </c>
      <c r="J12" s="219">
        <f>'расчет цен и скидок'!J12</f>
        <v>0</v>
      </c>
      <c r="K12" s="221">
        <f>'расчет цен и скидок'!K12</f>
        <v>2800</v>
      </c>
      <c r="L12" s="221">
        <f>'расчет цен и скидок'!L12</f>
        <v>3304</v>
      </c>
      <c r="M12" s="221">
        <f>'расчет цен и скидок'!M12</f>
        <v>0</v>
      </c>
      <c r="N12" s="221">
        <f>'расчет цен и скидок'!N12</f>
        <v>3219.9999999999995</v>
      </c>
      <c r="O12" s="221">
        <f>'расчет цен и скидок'!O12</f>
        <v>3799.5999999999995</v>
      </c>
      <c r="P12" s="232">
        <f>'расчет цен и скидок'!P12</f>
        <v>3250</v>
      </c>
      <c r="Q12" s="233">
        <f>'расчет цен и скидок'!Q12</f>
        <v>585</v>
      </c>
      <c r="R12" s="234">
        <f>'расчет цен и скидок'!R12</f>
        <v>3835</v>
      </c>
      <c r="S12" s="223">
        <f>'расчет цен и скидок'!S12</f>
        <v>0.15</v>
      </c>
      <c r="T12" s="224">
        <f>'расчет цен и скидок'!T12</f>
        <v>0.16071428571428573</v>
      </c>
      <c r="U12" s="291">
        <f>'расчет цен и скидок'!U12</f>
        <v>0.03</v>
      </c>
      <c r="V12" s="292">
        <f>'расчет цен и скидок'!V12</f>
        <v>3153</v>
      </c>
      <c r="W12" s="292">
        <f>'расчет цен и скидок'!W12</f>
        <v>3153</v>
      </c>
      <c r="X12" s="292">
        <f>'расчет цен и скидок'!X12</f>
        <v>3720.54</v>
      </c>
      <c r="Y12" s="314">
        <f>'расчет цен и скидок'!Y12</f>
        <v>0</v>
      </c>
      <c r="Z12" s="311">
        <f>'расчет цен и скидок'!Z12</f>
        <v>0.08</v>
      </c>
      <c r="AA12" s="302">
        <f>'расчет цен и скидок'!AA12</f>
        <v>0</v>
      </c>
      <c r="AB12" s="302">
        <f>'расчет цен и скидок'!AB12</f>
        <v>0</v>
      </c>
      <c r="AC12" s="227">
        <f>'расчет цен и скидок'!AC12</f>
        <v>0</v>
      </c>
      <c r="AD12" s="228">
        <f>'расчет цен и скидок'!AD12</f>
        <v>0</v>
      </c>
      <c r="AE12" s="228">
        <f>'расчет цен и скидок'!AE12</f>
        <v>0</v>
      </c>
      <c r="AF12" s="228">
        <f>'расчет цен и скидок'!AF12</f>
        <v>0</v>
      </c>
      <c r="AG12" s="228">
        <f>'расчет цен и скидок'!AG12</f>
        <v>0</v>
      </c>
      <c r="AH12" s="228">
        <f>'расчет цен и скидок'!AH12</f>
        <v>0</v>
      </c>
      <c r="AI12" s="228">
        <f>'расчет цен и скидок'!AI12</f>
        <v>0</v>
      </c>
      <c r="AJ12" s="229" t="e">
        <f>'расчет цен и скидок'!AJ12</f>
        <v>#DIV/0!</v>
      </c>
      <c r="AK12" s="227">
        <f>'расчет цен и скидок'!AK12</f>
        <v>0</v>
      </c>
      <c r="AL12" s="228">
        <f>'расчет цен и скидок'!AL12</f>
        <v>0</v>
      </c>
      <c r="AM12" s="228">
        <f>'расчет цен и скидок'!AM12</f>
        <v>0</v>
      </c>
      <c r="AN12" s="228">
        <f>'расчет цен и скидок'!AN12</f>
        <v>0</v>
      </c>
      <c r="AO12" s="227">
        <f>'расчет цен и скидок'!AO12</f>
        <v>0</v>
      </c>
      <c r="AP12" s="228">
        <f>'расчет цен и скидок'!AP12</f>
        <v>0</v>
      </c>
      <c r="AQ12" s="228">
        <f>'расчет цен и скидок'!AQ12</f>
        <v>0</v>
      </c>
      <c r="AR12" s="228">
        <f>'расчет цен и скидок'!AR12</f>
        <v>0</v>
      </c>
      <c r="AS12" s="227">
        <f>'расчет цен и скидок'!AS12</f>
        <v>0</v>
      </c>
      <c r="AT12" s="228">
        <f>'расчет цен и скидок'!AT12</f>
        <v>0</v>
      </c>
      <c r="AU12" s="228">
        <f>'расчет цен и скидок'!AU12</f>
        <v>0</v>
      </c>
      <c r="AV12" s="228">
        <f>'расчет цен и скидок'!AV12</f>
        <v>0</v>
      </c>
      <c r="AW12" s="227">
        <f>'расчет цен и скидок'!AW12</f>
        <v>0</v>
      </c>
      <c r="AX12" s="228">
        <f>'расчет цен и скидок'!AX12</f>
        <v>0</v>
      </c>
      <c r="AY12" s="230">
        <f>'расчет цен и скидок'!AY12</f>
        <v>0</v>
      </c>
      <c r="AZ12" s="227">
        <f>'расчет цен и скидок'!AZ12</f>
        <v>0</v>
      </c>
      <c r="BA12" s="228">
        <f>'расчет цен и скидок'!BA12</f>
        <v>0</v>
      </c>
      <c r="BB12" s="230">
        <f>'расчет цен и скидок'!BB12</f>
        <v>0</v>
      </c>
      <c r="BC12" s="227">
        <f>'расчет цен и скидок'!BC12</f>
        <v>0</v>
      </c>
      <c r="BD12" s="230">
        <f>'расчет цен и скидок'!BD12</f>
        <v>0</v>
      </c>
      <c r="BE12" s="230">
        <f>'расчет цен и скидок'!BE12</f>
        <v>0</v>
      </c>
      <c r="BF12" s="218">
        <f>'расчет цен и скидок'!BF12</f>
        <v>0</v>
      </c>
      <c r="BG12" s="228">
        <f>'расчет цен и скидок'!BG12</f>
        <v>0</v>
      </c>
      <c r="BH12" s="230">
        <f>'расчет цен и скидок'!BH12</f>
        <v>0</v>
      </c>
      <c r="BI12" s="227">
        <f>'расчет цен и скидок'!BI12</f>
        <v>0</v>
      </c>
      <c r="BJ12" s="228">
        <f>'расчет цен и скидок'!BJ12</f>
        <v>0</v>
      </c>
      <c r="BK12" s="230">
        <f>'расчет цен и скидок'!BK12</f>
        <v>0</v>
      </c>
      <c r="BL12" s="230">
        <f>'расчет цен и скидок'!BL12</f>
        <v>0</v>
      </c>
      <c r="BM12" s="230">
        <f>'расчет цен и скидок'!BM12</f>
        <v>0</v>
      </c>
      <c r="BN12" s="230">
        <f>'расчет цен и скидок'!BN12</f>
        <v>0</v>
      </c>
      <c r="BO12" s="230">
        <f>'расчет цен и скидок'!BO12</f>
        <v>0</v>
      </c>
      <c r="BP12" s="230">
        <f>'расчет цен и скидок'!BP12</f>
        <v>0</v>
      </c>
      <c r="BQ12" s="230">
        <f>'расчет цен и скидок'!BQ12</f>
        <v>0</v>
      </c>
      <c r="BR12" s="230">
        <f>'расчет цен и скидок'!BR12</f>
        <v>0</v>
      </c>
      <c r="BS12" s="230">
        <f>'расчет цен и скидок'!BS12</f>
        <v>0</v>
      </c>
      <c r="BT12" s="230">
        <f>'расчет цен и скидок'!BT12</f>
        <v>0</v>
      </c>
      <c r="BU12" s="230">
        <f>'расчет цен и скидок'!BU12</f>
        <v>0</v>
      </c>
      <c r="BV12" s="230">
        <f>'расчет цен и скидок'!BV12</f>
        <v>0</v>
      </c>
      <c r="BW12" s="230">
        <f>'расчет цен и скидок'!BW12</f>
        <v>0</v>
      </c>
      <c r="BX12" s="230">
        <f>'расчет цен и скидок'!BX12</f>
        <v>0</v>
      </c>
      <c r="BY12" s="230">
        <f>'расчет цен и скидок'!BY12</f>
        <v>0</v>
      </c>
      <c r="BZ12" s="230">
        <f>'расчет цен и скидок'!BZ12</f>
        <v>0</v>
      </c>
      <c r="CA12" s="230">
        <f>'расчет цен и скидок'!CA12</f>
        <v>0</v>
      </c>
      <c r="CB12" s="230">
        <f>'расчет цен и скидок'!CB12</f>
        <v>0</v>
      </c>
      <c r="CC12" s="230">
        <f>'расчет цен и скидок'!CC12</f>
        <v>0</v>
      </c>
      <c r="CD12" s="230">
        <f>'расчет цен и скидок'!CD12</f>
        <v>0</v>
      </c>
      <c r="CE12" s="230">
        <f>'расчет цен и скидок'!CE12</f>
        <v>0</v>
      </c>
      <c r="CF12" s="230">
        <f>'расчет цен и скидок'!CF12</f>
        <v>0</v>
      </c>
      <c r="CG12" s="230">
        <f>'расчет цен и скидок'!CG12</f>
        <v>0</v>
      </c>
      <c r="CH12" s="230">
        <f>'расчет цен и скидок'!CH12</f>
        <v>0</v>
      </c>
      <c r="CI12" s="230">
        <f>'расчет цен и скидок'!CI12</f>
        <v>0</v>
      </c>
      <c r="CJ12" s="230">
        <f>'расчет цен и скидок'!CJ12</f>
        <v>0</v>
      </c>
      <c r="CK12" s="230">
        <f>'расчет цен и скидок'!CK12</f>
        <v>0</v>
      </c>
      <c r="CL12" s="230">
        <f>'расчет цен и скидок'!CL12</f>
        <v>0</v>
      </c>
      <c r="CM12" s="230">
        <f>'расчет цен и скидок'!CM12</f>
        <v>0</v>
      </c>
      <c r="CN12" s="230">
        <f>'расчет цен и скидок'!CN12</f>
        <v>0</v>
      </c>
    </row>
    <row r="13" spans="1:92" ht="15.75">
      <c r="A13" s="279" t="str">
        <f>'расчет цен и скидок'!A13</f>
        <v>ЗШБУ кл.5,4</v>
      </c>
      <c r="B13" s="308" t="str">
        <f>'расчет цен и скидок'!B13</f>
        <v>в МКР (без стоимости МКР)</v>
      </c>
      <c r="C13" s="219">
        <f>'расчет цен и скидок'!C13</f>
        <v>0</v>
      </c>
      <c r="D13" s="219">
        <f>'расчет цен и скидок'!D13</f>
        <v>0</v>
      </c>
      <c r="E13" s="219">
        <f>'расчет цен и скидок'!E13</f>
        <v>0</v>
      </c>
      <c r="F13" s="219">
        <f>'расчет цен и скидок'!F13</f>
        <v>0</v>
      </c>
      <c r="G13" s="219">
        <f>'расчет цен и скидок'!G13</f>
        <v>0</v>
      </c>
      <c r="H13" s="219">
        <f>'расчет цен и скидок'!H13</f>
        <v>0</v>
      </c>
      <c r="I13" s="219">
        <f>'расчет цен и скидок'!I13</f>
        <v>0</v>
      </c>
      <c r="J13" s="219">
        <f>'расчет цен и скидок'!J13</f>
        <v>0</v>
      </c>
      <c r="K13" s="220">
        <f>'расчет цен и скидок'!K13</f>
        <v>2300</v>
      </c>
      <c r="L13" s="220">
        <f>'расчет цен и скидок'!L13</f>
        <v>2714</v>
      </c>
      <c r="M13" s="220">
        <f>'расчет цен и скидок'!M13</f>
        <v>0</v>
      </c>
      <c r="N13" s="221">
        <f>'расчет цен и скидок'!N13</f>
        <v>2645</v>
      </c>
      <c r="O13" s="221">
        <f>'расчет цен и скидок'!O13</f>
        <v>3121.1</v>
      </c>
      <c r="P13" s="232">
        <f>'расчет цен и скидок'!P13</f>
        <v>2650</v>
      </c>
      <c r="Q13" s="233">
        <f>'расчет цен и скидок'!Q13</f>
        <v>477</v>
      </c>
      <c r="R13" s="234">
        <f>'расчет цен и скидок'!R13</f>
        <v>3127</v>
      </c>
      <c r="S13" s="223">
        <f>'расчет цен и скидок'!S13</f>
        <v>0.15</v>
      </c>
      <c r="T13" s="224">
        <f>'расчет цен и скидок'!T13</f>
        <v>0.15217391304347827</v>
      </c>
      <c r="U13" s="288">
        <f>'расчет цен и скидок'!U13</f>
        <v>0.03</v>
      </c>
      <c r="V13" s="289">
        <f>'расчет цен и скидок'!V13</f>
        <v>2570.5</v>
      </c>
      <c r="W13" s="289">
        <f>'расчет цен и скидок'!W13</f>
        <v>2570</v>
      </c>
      <c r="X13" s="289">
        <f>'расчет цен и скидок'!X13</f>
        <v>3032.6</v>
      </c>
      <c r="Y13" s="314">
        <f>'расчет цен и скидок'!Y13</f>
        <v>0</v>
      </c>
      <c r="Z13" s="311">
        <f>'расчет цен и скидок'!Z13</f>
        <v>0.08</v>
      </c>
      <c r="AA13" s="302">
        <f>'расчет цен и скидок'!AA13</f>
        <v>2438</v>
      </c>
      <c r="AB13" s="302">
        <f>'расчет цен и скидок'!AB13</f>
        <v>2876.8399999999997</v>
      </c>
      <c r="AC13" s="227">
        <f>'расчет цен и скидок'!AC13</f>
        <v>0</v>
      </c>
      <c r="AD13" s="228">
        <f>'расчет цен и скидок'!AD13</f>
        <v>0</v>
      </c>
      <c r="AE13" s="228">
        <f>'расчет цен и скидок'!AE13</f>
        <v>0</v>
      </c>
      <c r="AF13" s="228">
        <f>'расчет цен и скидок'!AF13</f>
        <v>0</v>
      </c>
      <c r="AG13" s="228">
        <f>'расчет цен и скидок'!AG13</f>
        <v>0</v>
      </c>
      <c r="AH13" s="228">
        <f>'расчет цен и скидок'!AH13</f>
        <v>0</v>
      </c>
      <c r="AI13" s="228">
        <f>'расчет цен и скидок'!AI13</f>
        <v>0</v>
      </c>
      <c r="AJ13" s="229" t="e">
        <f>'расчет цен и скидок'!AJ13</f>
        <v>#DIV/0!</v>
      </c>
      <c r="AK13" s="227">
        <f>'расчет цен и скидок'!AK13</f>
        <v>0</v>
      </c>
      <c r="AL13" s="228">
        <f>'расчет цен и скидок'!AL13</f>
        <v>0</v>
      </c>
      <c r="AM13" s="228">
        <f>'расчет цен и скидок'!AM13</f>
        <v>0</v>
      </c>
      <c r="AN13" s="228">
        <f>'расчет цен и скидок'!AN13</f>
        <v>0</v>
      </c>
      <c r="AO13" s="227">
        <f>'расчет цен и скидок'!AO13</f>
        <v>0</v>
      </c>
      <c r="AP13" s="228">
        <f>'расчет цен и скидок'!AP13</f>
        <v>0</v>
      </c>
      <c r="AQ13" s="228">
        <f>'расчет цен и скидок'!AQ13</f>
        <v>0</v>
      </c>
      <c r="AR13" s="228">
        <f>'расчет цен и скидок'!AR13</f>
        <v>0</v>
      </c>
      <c r="AS13" s="227">
        <f>'расчет цен и скидок'!AS13</f>
        <v>0</v>
      </c>
      <c r="AT13" s="228">
        <f>'расчет цен и скидок'!AT13</f>
        <v>0</v>
      </c>
      <c r="AU13" s="228">
        <f>'расчет цен и скидок'!AU13</f>
        <v>0</v>
      </c>
      <c r="AV13" s="228">
        <f>'расчет цен и скидок'!AV13</f>
        <v>0</v>
      </c>
      <c r="AW13" s="227">
        <f>'расчет цен и скидок'!AW13</f>
        <v>0</v>
      </c>
      <c r="AX13" s="228">
        <f>'расчет цен и скидок'!AX13</f>
        <v>0</v>
      </c>
      <c r="AY13" s="230">
        <f>'расчет цен и скидок'!AY13</f>
        <v>0</v>
      </c>
      <c r="AZ13" s="227">
        <f>'расчет цен и скидок'!AZ13</f>
        <v>0</v>
      </c>
      <c r="BA13" s="228">
        <f>'расчет цен и скидок'!BA13</f>
        <v>0</v>
      </c>
      <c r="BB13" s="230">
        <f>'расчет цен и скидок'!BB13</f>
        <v>0</v>
      </c>
      <c r="BC13" s="227">
        <f>'расчет цен и скидок'!BC13</f>
        <v>0</v>
      </c>
      <c r="BD13" s="230">
        <f>'расчет цен и скидок'!BD13</f>
        <v>0</v>
      </c>
      <c r="BE13" s="230">
        <f>'расчет цен и скидок'!BE13</f>
        <v>0</v>
      </c>
      <c r="BF13" s="218">
        <f>'расчет цен и скидок'!BF13</f>
        <v>0</v>
      </c>
      <c r="BG13" s="228">
        <f>'расчет цен и скидок'!BG13</f>
        <v>0</v>
      </c>
      <c r="BH13" s="230">
        <f>'расчет цен и скидок'!BH13</f>
        <v>0</v>
      </c>
      <c r="BI13" s="227">
        <f>'расчет цен и скидок'!BI13</f>
        <v>0</v>
      </c>
      <c r="BJ13" s="228">
        <f>'расчет цен и скидок'!BJ13</f>
        <v>0</v>
      </c>
      <c r="BK13" s="230">
        <f>'расчет цен и скидок'!BK13</f>
        <v>0</v>
      </c>
      <c r="BL13" s="230">
        <f>'расчет цен и скидок'!BL13</f>
        <v>0</v>
      </c>
      <c r="BM13" s="230">
        <f>'расчет цен и скидок'!BM13</f>
        <v>0</v>
      </c>
      <c r="BN13" s="230">
        <f>'расчет цен и скидок'!BN13</f>
        <v>0</v>
      </c>
      <c r="BO13" s="230">
        <f>'расчет цен и скидок'!BO13</f>
        <v>0</v>
      </c>
      <c r="BP13" s="230">
        <f>'расчет цен и скидок'!BP13</f>
        <v>0</v>
      </c>
      <c r="BQ13" s="230">
        <f>'расчет цен и скидок'!BQ13</f>
        <v>0</v>
      </c>
      <c r="BR13" s="230">
        <f>'расчет цен и скидок'!BR13</f>
        <v>0</v>
      </c>
      <c r="BS13" s="230">
        <f>'расчет цен и скидок'!BS13</f>
        <v>0</v>
      </c>
      <c r="BT13" s="230">
        <f>'расчет цен и скидок'!BT13</f>
        <v>0</v>
      </c>
      <c r="BU13" s="230">
        <f>'расчет цен и скидок'!BU13</f>
        <v>0</v>
      </c>
      <c r="BV13" s="230">
        <f>'расчет цен и скидок'!BV13</f>
        <v>0</v>
      </c>
      <c r="BW13" s="230">
        <f>'расчет цен и скидок'!BW13</f>
        <v>0</v>
      </c>
      <c r="BX13" s="230">
        <f>'расчет цен и скидок'!BX13</f>
        <v>0</v>
      </c>
      <c r="BY13" s="230">
        <f>'расчет цен и скидок'!BY13</f>
        <v>0</v>
      </c>
      <c r="BZ13" s="230">
        <f>'расчет цен и скидок'!BZ13</f>
        <v>0</v>
      </c>
      <c r="CA13" s="230">
        <f>'расчет цен и скидок'!CA13</f>
        <v>0</v>
      </c>
      <c r="CB13" s="230">
        <f>'расчет цен и скидок'!CB13</f>
        <v>0</v>
      </c>
      <c r="CC13" s="230">
        <f>'расчет цен и скидок'!CC13</f>
        <v>0</v>
      </c>
      <c r="CD13" s="230">
        <f>'расчет цен и скидок'!CD13</f>
        <v>0</v>
      </c>
      <c r="CE13" s="230">
        <f>'расчет цен и скидок'!CE13</f>
        <v>0</v>
      </c>
      <c r="CF13" s="230">
        <f>'расчет цен и скидок'!CF13</f>
        <v>0</v>
      </c>
      <c r="CG13" s="230">
        <f>'расчет цен и скидок'!CG13</f>
        <v>0</v>
      </c>
      <c r="CH13" s="230">
        <f>'расчет цен и скидок'!CH13</f>
        <v>0</v>
      </c>
      <c r="CI13" s="230">
        <f>'расчет цен и скидок'!CI13</f>
        <v>0</v>
      </c>
      <c r="CJ13" s="230">
        <f>'расчет цен и скидок'!CJ13</f>
        <v>0</v>
      </c>
      <c r="CK13" s="230">
        <f>'расчет цен и скидок'!CK13</f>
        <v>0</v>
      </c>
      <c r="CL13" s="230">
        <f>'расчет цен и скидок'!CL13</f>
        <v>0</v>
      </c>
      <c r="CM13" s="230">
        <f>'расчет цен и скидок'!CM13</f>
        <v>0</v>
      </c>
      <c r="CN13" s="230">
        <f>'расчет цен и скидок'!CN13</f>
        <v>0</v>
      </c>
    </row>
    <row r="14" spans="1:92" ht="15.75">
      <c r="A14" s="279" t="str">
        <f>'расчет цен и скидок'!A14</f>
        <v>ЗШБУ кл.5,4</v>
      </c>
      <c r="B14" s="308" t="str">
        <f>'расчет цен и скидок'!B14</f>
        <v>с учетом стоимости МКР (с вкладышем)</v>
      </c>
      <c r="C14" s="219">
        <f>'расчет цен и скидок'!C14</f>
        <v>0</v>
      </c>
      <c r="D14" s="219">
        <f>'расчет цен и скидок'!D14</f>
        <v>0</v>
      </c>
      <c r="E14" s="219">
        <f>'расчет цен и скидок'!E14</f>
        <v>0</v>
      </c>
      <c r="F14" s="219">
        <f>'расчет цен и скидок'!F14</f>
        <v>0</v>
      </c>
      <c r="G14" s="219">
        <f>'расчет цен и скидок'!G14</f>
        <v>0</v>
      </c>
      <c r="H14" s="219">
        <f>'расчет цен и скидок'!H14</f>
        <v>0</v>
      </c>
      <c r="I14" s="219">
        <f>'расчет цен и скидок'!I14</f>
        <v>0</v>
      </c>
      <c r="J14" s="219">
        <f>'расчет цен и скидок'!J14</f>
        <v>0</v>
      </c>
      <c r="K14" s="220">
        <f>'расчет цен и скидок'!K14</f>
        <v>2535</v>
      </c>
      <c r="L14" s="220">
        <f>'расчет цен и скидок'!L14</f>
        <v>2991.3</v>
      </c>
      <c r="M14" s="220">
        <f>'расчет цен и скидок'!M14</f>
        <v>0</v>
      </c>
      <c r="N14" s="221">
        <f>'расчет цен и скидок'!N14</f>
        <v>2915.25</v>
      </c>
      <c r="O14" s="221">
        <f>'расчет цен и скидок'!O14</f>
        <v>3439.995</v>
      </c>
      <c r="P14" s="235">
        <f>'расчет цен и скидок'!P14</f>
        <v>2850</v>
      </c>
      <c r="Q14" s="236">
        <f>'расчет цен и скидок'!Q14</f>
        <v>513</v>
      </c>
      <c r="R14" s="236">
        <f>'расчет цен и скидок'!R14</f>
        <v>3363</v>
      </c>
      <c r="S14" s="223">
        <f>'расчет цен и скидок'!S14</f>
        <v>0.15</v>
      </c>
      <c r="T14" s="224">
        <f>'расчет цен и скидок'!T14</f>
        <v>0.12426035502958573</v>
      </c>
      <c r="U14" s="291">
        <f>'расчет цен и скидок'!U14</f>
        <v>0.03</v>
      </c>
      <c r="V14" s="292">
        <f>'расчет цен и скидок'!V14</f>
        <v>2770.5</v>
      </c>
      <c r="W14" s="292">
        <f>'расчет цен и скидок'!W14</f>
        <v>2770</v>
      </c>
      <c r="X14" s="292">
        <f>'расчет цен и скидок'!X14</f>
        <v>3268.6</v>
      </c>
      <c r="Y14" s="314">
        <f>'расчет цен и скидок'!Y14</f>
        <v>0</v>
      </c>
      <c r="Z14" s="311">
        <f>'расчет цен и скидок'!Z14</f>
        <v>0.08</v>
      </c>
      <c r="AA14" s="302">
        <f>'расчет цен и скидок'!AA14</f>
        <v>2638</v>
      </c>
      <c r="AB14" s="302">
        <f>'расчет цен и скидок'!AB14</f>
        <v>2876.8399999999997</v>
      </c>
      <c r="AC14" s="227">
        <f>'расчет цен и скидок'!AC14</f>
        <v>0</v>
      </c>
      <c r="AD14" s="228">
        <f>'расчет цен и скидок'!AD14</f>
        <v>0</v>
      </c>
      <c r="AE14" s="228">
        <f>'расчет цен и скидок'!AE14</f>
        <v>0</v>
      </c>
      <c r="AF14" s="228">
        <f>'расчет цен и скидок'!AF14</f>
        <v>0</v>
      </c>
      <c r="AG14" s="228">
        <f>'расчет цен и скидок'!AG14</f>
        <v>0</v>
      </c>
      <c r="AH14" s="228">
        <f>'расчет цен и скидок'!AH14</f>
        <v>0</v>
      </c>
      <c r="AI14" s="228">
        <f>'расчет цен и скидок'!AI14</f>
        <v>0</v>
      </c>
      <c r="AJ14" s="229">
        <f>'расчет цен и скидок'!AJ14</f>
        <v>0</v>
      </c>
      <c r="AK14" s="227">
        <f>'расчет цен и скидок'!AK14</f>
        <v>0</v>
      </c>
      <c r="AL14" s="228">
        <f>'расчет цен и скидок'!AL14</f>
        <v>0</v>
      </c>
      <c r="AM14" s="228">
        <f>'расчет цен и скидок'!AM14</f>
        <v>0</v>
      </c>
      <c r="AN14" s="228">
        <f>'расчет цен и скидок'!AN14</f>
        <v>0</v>
      </c>
      <c r="AO14" s="227">
        <f>'расчет цен и скидок'!AO14</f>
        <v>0</v>
      </c>
      <c r="AP14" s="228">
        <f>'расчет цен и скидок'!AP14</f>
        <v>0</v>
      </c>
      <c r="AQ14" s="228">
        <f>'расчет цен и скидок'!AQ14</f>
        <v>0</v>
      </c>
      <c r="AR14" s="228">
        <f>'расчет цен и скидок'!AR14</f>
        <v>0</v>
      </c>
      <c r="AS14" s="227">
        <f>'расчет цен и скидок'!AS14</f>
        <v>0</v>
      </c>
      <c r="AT14" s="228">
        <f>'расчет цен и скидок'!AT14</f>
        <v>0</v>
      </c>
      <c r="AU14" s="228">
        <f>'расчет цен и скидок'!AU14</f>
        <v>0</v>
      </c>
      <c r="AV14" s="228">
        <f>'расчет цен и скидок'!AV14</f>
        <v>0</v>
      </c>
      <c r="AW14" s="227">
        <f>'расчет цен и скидок'!AW14</f>
        <v>0</v>
      </c>
      <c r="AX14" s="228">
        <f>'расчет цен и скидок'!AX14</f>
        <v>0</v>
      </c>
      <c r="AY14" s="230">
        <f>'расчет цен и скидок'!AY14</f>
        <v>0</v>
      </c>
      <c r="AZ14" s="227">
        <f>'расчет цен и скидок'!AZ14</f>
        <v>0</v>
      </c>
      <c r="BA14" s="228">
        <f>'расчет цен и скидок'!BA14</f>
        <v>0</v>
      </c>
      <c r="BB14" s="230">
        <f>'расчет цен и скидок'!BB14</f>
        <v>0</v>
      </c>
      <c r="BC14" s="227">
        <f>'расчет цен и скидок'!BC14</f>
        <v>0</v>
      </c>
      <c r="BD14" s="230">
        <f>'расчет цен и скидок'!BD14</f>
        <v>0</v>
      </c>
      <c r="BE14" s="230">
        <f>'расчет цен и скидок'!BE14</f>
        <v>0</v>
      </c>
      <c r="BF14" s="218">
        <f>'расчет цен и скидок'!BF14</f>
        <v>0</v>
      </c>
      <c r="BG14" s="228">
        <f>'расчет цен и скидок'!BG14</f>
        <v>0</v>
      </c>
      <c r="BH14" s="230">
        <f>'расчет цен и скидок'!BH14</f>
        <v>0</v>
      </c>
      <c r="BI14" s="227">
        <f>'расчет цен и скидок'!BI14</f>
        <v>0</v>
      </c>
      <c r="BJ14" s="228">
        <f>'расчет цен и скидок'!BJ14</f>
        <v>0</v>
      </c>
      <c r="BK14" s="230">
        <f>'расчет цен и скидок'!BK14</f>
        <v>0</v>
      </c>
      <c r="BL14" s="230">
        <f>'расчет цен и скидок'!BL14</f>
        <v>0</v>
      </c>
      <c r="BM14" s="230">
        <f>'расчет цен и скидок'!BM14</f>
        <v>0</v>
      </c>
      <c r="BN14" s="230">
        <f>'расчет цен и скидок'!BN14</f>
        <v>0</v>
      </c>
      <c r="BO14" s="230">
        <f>'расчет цен и скидок'!BO14</f>
        <v>0</v>
      </c>
      <c r="BP14" s="230">
        <f>'расчет цен и скидок'!BP14</f>
        <v>0</v>
      </c>
      <c r="BQ14" s="230">
        <f>'расчет цен и скидок'!BQ14</f>
        <v>0</v>
      </c>
      <c r="BR14" s="230">
        <f>'расчет цен и скидок'!BR14</f>
        <v>0</v>
      </c>
      <c r="BS14" s="230">
        <f>'расчет цен и скидок'!BS14</f>
        <v>0</v>
      </c>
      <c r="BT14" s="230">
        <f>'расчет цен и скидок'!BT14</f>
        <v>0</v>
      </c>
      <c r="BU14" s="230">
        <f>'расчет цен и скидок'!BU14</f>
        <v>0</v>
      </c>
      <c r="BV14" s="230">
        <f>'расчет цен и скидок'!BV14</f>
        <v>0</v>
      </c>
      <c r="BW14" s="230">
        <f>'расчет цен и скидок'!BW14</f>
        <v>0</v>
      </c>
      <c r="BX14" s="230">
        <f>'расчет цен и скидок'!BX14</f>
        <v>0</v>
      </c>
      <c r="BY14" s="230">
        <f>'расчет цен и скидок'!BY14</f>
        <v>0</v>
      </c>
      <c r="BZ14" s="230">
        <f>'расчет цен и скидок'!BZ14</f>
        <v>0</v>
      </c>
      <c r="CA14" s="230">
        <f>'расчет цен и скидок'!CA14</f>
        <v>0</v>
      </c>
      <c r="CB14" s="230">
        <f>'расчет цен и скидок'!CB14</f>
        <v>0</v>
      </c>
      <c r="CC14" s="230">
        <f>'расчет цен и скидок'!CC14</f>
        <v>0</v>
      </c>
      <c r="CD14" s="230">
        <f>'расчет цен и скидок'!CD14</f>
        <v>0</v>
      </c>
      <c r="CE14" s="230">
        <f>'расчет цен и скидок'!CE14</f>
        <v>0</v>
      </c>
      <c r="CF14" s="230">
        <f>'расчет цен и скидок'!CF14</f>
        <v>0</v>
      </c>
      <c r="CG14" s="230">
        <f>'расчет цен и скидок'!CG14</f>
        <v>0</v>
      </c>
      <c r="CH14" s="230">
        <f>'расчет цен и скидок'!CH14</f>
        <v>0</v>
      </c>
      <c r="CI14" s="230">
        <f>'расчет цен и скидок'!CI14</f>
        <v>0</v>
      </c>
      <c r="CJ14" s="230">
        <f>'расчет цен и скидок'!CJ14</f>
        <v>0</v>
      </c>
      <c r="CK14" s="230">
        <f>'расчет цен и скидок'!CK14</f>
        <v>0</v>
      </c>
      <c r="CL14" s="230">
        <f>'расчет цен и скидок'!CL14</f>
        <v>0</v>
      </c>
      <c r="CM14" s="230">
        <f>'расчет цен и скидок'!CM14</f>
        <v>0</v>
      </c>
      <c r="CN14" s="230">
        <f>'расчет цен и скидок'!CN14</f>
        <v>0</v>
      </c>
    </row>
    <row r="15" spans="1:92" ht="15.75">
      <c r="A15" s="279" t="str">
        <f>'расчет цен и скидок'!A15</f>
        <v>ЗШБУ кл.5,4</v>
      </c>
      <c r="B15" s="308" t="str">
        <f>'расчет цен и скидок'!B15</f>
        <v>навалом</v>
      </c>
      <c r="C15" s="219">
        <f>'расчет цен и скидок'!C15</f>
        <v>0</v>
      </c>
      <c r="D15" s="219">
        <f>'расчет цен и скидок'!D15</f>
        <v>0</v>
      </c>
      <c r="E15" s="219">
        <f>'расчет цен и скидок'!E15</f>
        <v>0</v>
      </c>
      <c r="F15" s="219">
        <f>'расчет цен и скидок'!F15</f>
        <v>0</v>
      </c>
      <c r="G15" s="219">
        <f>'расчет цен и скидок'!G15</f>
        <v>0</v>
      </c>
      <c r="H15" s="219">
        <f>'расчет цен и скидок'!H15</f>
        <v>0</v>
      </c>
      <c r="I15" s="219">
        <f>'расчет цен и скидок'!I15</f>
        <v>0</v>
      </c>
      <c r="J15" s="219">
        <f>'расчет цен и скидок'!J15</f>
        <v>0</v>
      </c>
      <c r="K15" s="221">
        <f>'расчет цен и скидок'!K15</f>
        <v>2200</v>
      </c>
      <c r="L15" s="221">
        <f>'расчет цен и скидок'!L15</f>
        <v>2596</v>
      </c>
      <c r="M15" s="221">
        <f>'расчет цен и скидок'!M15</f>
        <v>0</v>
      </c>
      <c r="N15" s="221">
        <f>'расчет цен и скидок'!N15</f>
        <v>2530</v>
      </c>
      <c r="O15" s="221">
        <f>'расчет цен и скидок'!O15</f>
        <v>2985.3999999999996</v>
      </c>
      <c r="P15" s="232">
        <f>'расчет цен и скидок'!P15</f>
        <v>2550</v>
      </c>
      <c r="Q15" s="233">
        <f>'расчет цен и скидок'!Q15</f>
        <v>459</v>
      </c>
      <c r="R15" s="234">
        <f>'расчет цен и скидок'!R15</f>
        <v>3009</v>
      </c>
      <c r="S15" s="223">
        <f>'расчет цен и скидок'!S15</f>
        <v>0.15</v>
      </c>
      <c r="T15" s="224">
        <f>'расчет цен и скидок'!T15</f>
        <v>0.1590909090909091</v>
      </c>
      <c r="U15" s="291">
        <f>'расчет цен и скидок'!U15</f>
        <v>0.03</v>
      </c>
      <c r="V15" s="292">
        <f>'расчет цен и скидок'!V15</f>
        <v>2474</v>
      </c>
      <c r="W15" s="292">
        <f>'расчет цен и скидок'!W15</f>
        <v>2474</v>
      </c>
      <c r="X15" s="292">
        <f>'расчет цен и скидок'!X15</f>
        <v>2919.3199999999997</v>
      </c>
      <c r="Y15" s="314">
        <f>'расчет цен и скидок'!Y15</f>
        <v>0</v>
      </c>
      <c r="Z15" s="311">
        <f>'расчет цен и скидок'!Z15</f>
        <v>0.08</v>
      </c>
      <c r="AA15" s="302">
        <f>'расчет цен и скидок'!AA15</f>
        <v>2346</v>
      </c>
      <c r="AB15" s="302">
        <f>'расчет цен и скидок'!AB15</f>
        <v>2768.2799999999997</v>
      </c>
      <c r="AC15" s="227">
        <f>'расчет цен и скидок'!AC15</f>
        <v>0</v>
      </c>
      <c r="AD15" s="228">
        <f>'расчет цен и скидок'!AD15</f>
        <v>0</v>
      </c>
      <c r="AE15" s="228">
        <f>'расчет цен и скидок'!AE15</f>
        <v>0</v>
      </c>
      <c r="AF15" s="228">
        <f>'расчет цен и скидок'!AF15</f>
        <v>0</v>
      </c>
      <c r="AG15" s="228">
        <f>'расчет цен и скидок'!AG15</f>
        <v>0</v>
      </c>
      <c r="AH15" s="228">
        <f>'расчет цен и скидок'!AH15</f>
        <v>0</v>
      </c>
      <c r="AI15" s="228">
        <f>'расчет цен и скидок'!AI15</f>
        <v>0</v>
      </c>
      <c r="AJ15" s="229" t="e">
        <f>'расчет цен и скидок'!AJ15</f>
        <v>#DIV/0!</v>
      </c>
      <c r="AK15" s="227">
        <f>'расчет цен и скидок'!AK15</f>
        <v>0</v>
      </c>
      <c r="AL15" s="228">
        <f>'расчет цен и скидок'!AL15</f>
        <v>0</v>
      </c>
      <c r="AM15" s="228">
        <f>'расчет цен и скидок'!AM15</f>
        <v>0</v>
      </c>
      <c r="AN15" s="228">
        <f>'расчет цен и скидок'!AN15</f>
        <v>0</v>
      </c>
      <c r="AO15" s="227">
        <f>'расчет цен и скидок'!AO15</f>
        <v>0</v>
      </c>
      <c r="AP15" s="228">
        <f>'расчет цен и скидок'!AP15</f>
        <v>0</v>
      </c>
      <c r="AQ15" s="228">
        <f>'расчет цен и скидок'!AQ15</f>
        <v>0</v>
      </c>
      <c r="AR15" s="228">
        <f>'расчет цен и скидок'!AR15</f>
        <v>0</v>
      </c>
      <c r="AS15" s="227">
        <f>'расчет цен и скидок'!AS15</f>
        <v>0</v>
      </c>
      <c r="AT15" s="228">
        <f>'расчет цен и скидок'!AT15</f>
        <v>0</v>
      </c>
      <c r="AU15" s="228">
        <f>'расчет цен и скидок'!AU15</f>
        <v>0</v>
      </c>
      <c r="AV15" s="228">
        <f>'расчет цен и скидок'!AV15</f>
        <v>0</v>
      </c>
      <c r="AW15" s="227">
        <f>'расчет цен и скидок'!AW15</f>
        <v>0</v>
      </c>
      <c r="AX15" s="228">
        <f>'расчет цен и скидок'!AX15</f>
        <v>0</v>
      </c>
      <c r="AY15" s="230">
        <f>'расчет цен и скидок'!AY15</f>
        <v>0</v>
      </c>
      <c r="AZ15" s="227">
        <f>'расчет цен и скидок'!AZ15</f>
        <v>0</v>
      </c>
      <c r="BA15" s="228">
        <f>'расчет цен и скидок'!BA15</f>
        <v>0</v>
      </c>
      <c r="BB15" s="230">
        <f>'расчет цен и скидок'!BB15</f>
        <v>0</v>
      </c>
      <c r="BC15" s="227">
        <f>'расчет цен и скидок'!BC15</f>
        <v>0</v>
      </c>
      <c r="BD15" s="230">
        <f>'расчет цен и скидок'!BD15</f>
        <v>0</v>
      </c>
      <c r="BE15" s="230">
        <f>'расчет цен и скидок'!BE15</f>
        <v>0</v>
      </c>
      <c r="BF15" s="218">
        <f>'расчет цен и скидок'!BF15</f>
        <v>0</v>
      </c>
      <c r="BG15" s="228">
        <f>'расчет цен и скидок'!BG15</f>
        <v>0</v>
      </c>
      <c r="BH15" s="230">
        <f>'расчет цен и скидок'!BH15</f>
        <v>0</v>
      </c>
      <c r="BI15" s="227">
        <f>'расчет цен и скидок'!BI15</f>
        <v>0</v>
      </c>
      <c r="BJ15" s="228">
        <f>'расчет цен и скидок'!BJ15</f>
        <v>0</v>
      </c>
      <c r="BK15" s="230">
        <f>'расчет цен и скидок'!BK15</f>
        <v>0</v>
      </c>
      <c r="BL15" s="230">
        <f>'расчет цен и скидок'!BL15</f>
        <v>0</v>
      </c>
      <c r="BM15" s="230">
        <f>'расчет цен и скидок'!BM15</f>
        <v>0</v>
      </c>
      <c r="BN15" s="230">
        <f>'расчет цен и скидок'!BN15</f>
        <v>0</v>
      </c>
      <c r="BO15" s="230">
        <f>'расчет цен и скидок'!BO15</f>
        <v>0</v>
      </c>
      <c r="BP15" s="230">
        <f>'расчет цен и скидок'!BP15</f>
        <v>0</v>
      </c>
      <c r="BQ15" s="230">
        <f>'расчет цен и скидок'!BQ15</f>
        <v>0</v>
      </c>
      <c r="BR15" s="230">
        <f>'расчет цен и скидок'!BR15</f>
        <v>0</v>
      </c>
      <c r="BS15" s="230">
        <f>'расчет цен и скидок'!BS15</f>
        <v>0</v>
      </c>
      <c r="BT15" s="230">
        <f>'расчет цен и скидок'!BT15</f>
        <v>0</v>
      </c>
      <c r="BU15" s="230">
        <f>'расчет цен и скидок'!BU15</f>
        <v>0</v>
      </c>
      <c r="BV15" s="230">
        <f>'расчет цен и скидок'!BV15</f>
        <v>0</v>
      </c>
      <c r="BW15" s="230">
        <f>'расчет цен и скидок'!BW15</f>
        <v>0</v>
      </c>
      <c r="BX15" s="230">
        <f>'расчет цен и скидок'!BX15</f>
        <v>0</v>
      </c>
      <c r="BY15" s="230">
        <f>'расчет цен и скидок'!BY15</f>
        <v>0</v>
      </c>
      <c r="BZ15" s="230">
        <f>'расчет цен и скидок'!BZ15</f>
        <v>0</v>
      </c>
      <c r="CA15" s="230">
        <f>'расчет цен и скидок'!CA15</f>
        <v>0</v>
      </c>
      <c r="CB15" s="230">
        <f>'расчет цен и скидок'!CB15</f>
        <v>0</v>
      </c>
      <c r="CC15" s="230">
        <f>'расчет цен и скидок'!CC15</f>
        <v>0</v>
      </c>
      <c r="CD15" s="230">
        <f>'расчет цен и скидок'!CD15</f>
        <v>0</v>
      </c>
      <c r="CE15" s="230">
        <f>'расчет цен и скидок'!CE15</f>
        <v>0</v>
      </c>
      <c r="CF15" s="230">
        <f>'расчет цен и скидок'!CF15</f>
        <v>0</v>
      </c>
      <c r="CG15" s="230">
        <f>'расчет цен и скидок'!CG15</f>
        <v>0</v>
      </c>
      <c r="CH15" s="230">
        <f>'расчет цен и скидок'!CH15</f>
        <v>0</v>
      </c>
      <c r="CI15" s="230">
        <f>'расчет цен и скидок'!CI15</f>
        <v>0</v>
      </c>
      <c r="CJ15" s="230">
        <f>'расчет цен и скидок'!CJ15</f>
        <v>0</v>
      </c>
      <c r="CK15" s="230">
        <f>'расчет цен и скидок'!CK15</f>
        <v>0</v>
      </c>
      <c r="CL15" s="230">
        <f>'расчет цен и скидок'!CL15</f>
        <v>0</v>
      </c>
      <c r="CM15" s="230">
        <f>'расчет цен и скидок'!CM15</f>
        <v>0</v>
      </c>
      <c r="CN15" s="230">
        <f>'расчет цен и скидок'!CN15</f>
        <v>0</v>
      </c>
    </row>
    <row r="16" spans="2:92" ht="15.75">
      <c r="B16" s="308"/>
      <c r="C16" s="219">
        <f>'расчет цен и скидок'!C16</f>
        <v>0</v>
      </c>
      <c r="D16" s="219">
        <f>'расчет цен и скидок'!D16</f>
        <v>0</v>
      </c>
      <c r="E16" s="219">
        <f>'расчет цен и скидок'!E16</f>
        <v>0</v>
      </c>
      <c r="F16" s="219">
        <f>'расчет цен и скидок'!F16</f>
        <v>0</v>
      </c>
      <c r="G16" s="219">
        <f>'расчет цен и скидок'!G16</f>
        <v>0</v>
      </c>
      <c r="H16" s="219">
        <f>'расчет цен и скидок'!H16</f>
        <v>0</v>
      </c>
      <c r="I16" s="219">
        <f>'расчет цен и скидок'!I16</f>
        <v>0</v>
      </c>
      <c r="J16" s="219">
        <f>'расчет цен и скидок'!J16</f>
        <v>0</v>
      </c>
      <c r="K16" s="221">
        <f>'расчет цен и скидок'!K16</f>
        <v>0</v>
      </c>
      <c r="L16" s="221">
        <f>'расчет цен и скидок'!L16</f>
        <v>0</v>
      </c>
      <c r="M16" s="221">
        <f>'расчет цен и скидок'!M16</f>
        <v>0</v>
      </c>
      <c r="N16" s="221">
        <f>'расчет цен и скидок'!N16</f>
        <v>0</v>
      </c>
      <c r="O16" s="221">
        <f>'расчет цен и скидок'!O16</f>
        <v>0</v>
      </c>
      <c r="P16" s="232">
        <f>'расчет цен и скидок'!P16</f>
        <v>0</v>
      </c>
      <c r="Q16" s="233">
        <f>'расчет цен и скидок'!Q16</f>
        <v>0</v>
      </c>
      <c r="R16" s="234">
        <f>'расчет цен и скидок'!R16</f>
        <v>0</v>
      </c>
      <c r="S16" s="223">
        <f>'расчет цен и скидок'!S16</f>
        <v>0</v>
      </c>
      <c r="T16" s="224">
        <f>'расчет цен и скидок'!T16</f>
        <v>0</v>
      </c>
      <c r="U16" s="250"/>
      <c r="Z16" s="311"/>
      <c r="AA16" s="302">
        <f>'расчет цен и скидок'!AA16</f>
        <v>0</v>
      </c>
      <c r="AB16" s="302">
        <f>'расчет цен и скидок'!AB16</f>
        <v>0</v>
      </c>
      <c r="AC16" s="227">
        <f>'расчет цен и скидок'!AC16</f>
        <v>0</v>
      </c>
      <c r="AD16" s="228">
        <f>'расчет цен и скидок'!AD16</f>
        <v>0</v>
      </c>
      <c r="AE16" s="228">
        <f>'расчет цен и скидок'!AE16</f>
        <v>0</v>
      </c>
      <c r="AF16" s="228">
        <f>'расчет цен и скидок'!AF16</f>
        <v>0</v>
      </c>
      <c r="AG16" s="228">
        <f>'расчет цен и скидок'!AG16</f>
        <v>0</v>
      </c>
      <c r="AH16" s="228">
        <f>'расчет цен и скидок'!AH16</f>
        <v>0</v>
      </c>
      <c r="AI16" s="228">
        <f>'расчет цен и скидок'!AI16</f>
        <v>0</v>
      </c>
      <c r="AJ16" s="229" t="e">
        <f>'расчет цен и скидок'!AJ16</f>
        <v>#DIV/0!</v>
      </c>
      <c r="AK16" s="227">
        <f>'расчет цен и скидок'!AK16</f>
        <v>0</v>
      </c>
      <c r="AL16" s="228">
        <f>'расчет цен и скидок'!AL16</f>
        <v>0</v>
      </c>
      <c r="AM16" s="228">
        <f>'расчет цен и скидок'!AM16</f>
        <v>0</v>
      </c>
      <c r="AN16" s="228">
        <f>'расчет цен и скидок'!AN16</f>
        <v>0</v>
      </c>
      <c r="AO16" s="227">
        <f>'расчет цен и скидок'!AO16</f>
        <v>0</v>
      </c>
      <c r="AP16" s="228">
        <f>'расчет цен и скидок'!AP16</f>
        <v>0</v>
      </c>
      <c r="AQ16" s="228">
        <f>'расчет цен и скидок'!AQ16</f>
        <v>0</v>
      </c>
      <c r="AR16" s="228">
        <f>'расчет цен и скидок'!AR16</f>
        <v>0</v>
      </c>
      <c r="AS16" s="227">
        <f>'расчет цен и скидок'!AS16</f>
        <v>0</v>
      </c>
      <c r="AT16" s="228">
        <f>'расчет цен и скидок'!AT16</f>
        <v>0</v>
      </c>
      <c r="AU16" s="228">
        <f>'расчет цен и скидок'!AU16</f>
        <v>0</v>
      </c>
      <c r="AV16" s="228">
        <f>'расчет цен и скидок'!AV16</f>
        <v>0</v>
      </c>
      <c r="AW16" s="227">
        <f>'расчет цен и скидок'!AW16</f>
        <v>0</v>
      </c>
      <c r="AX16" s="228">
        <f>'расчет цен и скидок'!AX16</f>
        <v>0</v>
      </c>
      <c r="AY16" s="230">
        <f>'расчет цен и скидок'!AY16</f>
        <v>0</v>
      </c>
      <c r="AZ16" s="227">
        <f>'расчет цен и скидок'!AZ16</f>
        <v>0</v>
      </c>
      <c r="BA16" s="228">
        <f>'расчет цен и скидок'!BA16</f>
        <v>0</v>
      </c>
      <c r="BB16" s="230">
        <f>'расчет цен и скидок'!BB16</f>
        <v>0</v>
      </c>
      <c r="BC16" s="227">
        <f>'расчет цен и скидок'!BC16</f>
        <v>0</v>
      </c>
      <c r="BD16" s="230">
        <f>'расчет цен и скидок'!BD16</f>
        <v>0</v>
      </c>
      <c r="BE16" s="230">
        <f>'расчет цен и скидок'!BE16</f>
        <v>0</v>
      </c>
      <c r="BF16" s="218">
        <f>'расчет цен и скидок'!BF16</f>
        <v>0</v>
      </c>
      <c r="BG16" s="228">
        <f>'расчет цен и скидок'!BG16</f>
        <v>0</v>
      </c>
      <c r="BH16" s="230">
        <f>'расчет цен и скидок'!BH16</f>
        <v>0</v>
      </c>
      <c r="BI16" s="227">
        <f>'расчет цен и скидок'!BI16</f>
        <v>0</v>
      </c>
      <c r="BJ16" s="228">
        <f>'расчет цен и скидок'!BJ16</f>
        <v>0</v>
      </c>
      <c r="BK16" s="230">
        <f>'расчет цен и скидок'!BK16</f>
        <v>0</v>
      </c>
      <c r="BL16" s="230">
        <f>'расчет цен и скидок'!BL16</f>
        <v>0</v>
      </c>
      <c r="BM16" s="230">
        <f>'расчет цен и скидок'!BM16</f>
        <v>0</v>
      </c>
      <c r="BN16" s="230">
        <f>'расчет цен и скидок'!BN16</f>
        <v>0</v>
      </c>
      <c r="BO16" s="230">
        <f>'расчет цен и скидок'!BO16</f>
        <v>0</v>
      </c>
      <c r="BP16" s="230">
        <f>'расчет цен и скидок'!BP16</f>
        <v>0</v>
      </c>
      <c r="BQ16" s="230">
        <f>'расчет цен и скидок'!BQ16</f>
        <v>0</v>
      </c>
      <c r="BR16" s="230">
        <f>'расчет цен и скидок'!BR16</f>
        <v>0</v>
      </c>
      <c r="BS16" s="230">
        <f>'расчет цен и скидок'!BS16</f>
        <v>0</v>
      </c>
      <c r="BT16" s="230">
        <f>'расчет цен и скидок'!BT16</f>
        <v>0</v>
      </c>
      <c r="BU16" s="230">
        <f>'расчет цен и скидок'!BU16</f>
        <v>0</v>
      </c>
      <c r="BV16" s="230">
        <f>'расчет цен и скидок'!BV16</f>
        <v>0</v>
      </c>
      <c r="BW16" s="230">
        <f>'расчет цен и скидок'!BW16</f>
        <v>0</v>
      </c>
      <c r="BX16" s="230">
        <f>'расчет цен и скидок'!BX16</f>
        <v>0</v>
      </c>
      <c r="BY16" s="230">
        <f>'расчет цен и скидок'!BY16</f>
        <v>0</v>
      </c>
      <c r="BZ16" s="230">
        <f>'расчет цен и скидок'!BZ16</f>
        <v>0</v>
      </c>
      <c r="CA16" s="230">
        <f>'расчет цен и скидок'!CA16</f>
        <v>0</v>
      </c>
      <c r="CB16" s="230">
        <f>'расчет цен и скидок'!CB16</f>
        <v>0</v>
      </c>
      <c r="CC16" s="230">
        <f>'расчет цен и скидок'!CC16</f>
        <v>0</v>
      </c>
      <c r="CD16" s="230">
        <f>'расчет цен и скидок'!CD16</f>
        <v>0</v>
      </c>
      <c r="CE16" s="230">
        <f>'расчет цен и скидок'!CE16</f>
        <v>0</v>
      </c>
      <c r="CF16" s="230">
        <f>'расчет цен и скидок'!CF16</f>
        <v>0</v>
      </c>
      <c r="CG16" s="230">
        <f>'расчет цен и скидок'!CG16</f>
        <v>0</v>
      </c>
      <c r="CH16" s="230">
        <f>'расчет цен и скидок'!CH16</f>
        <v>0</v>
      </c>
      <c r="CI16" s="230">
        <f>'расчет цен и скидок'!CI16</f>
        <v>0</v>
      </c>
      <c r="CJ16" s="230">
        <f>'расчет цен и скидок'!CJ16</f>
        <v>0</v>
      </c>
      <c r="CK16" s="230">
        <f>'расчет цен и скидок'!CK16</f>
        <v>0</v>
      </c>
      <c r="CL16" s="230">
        <f>'расчет цен и скидок'!CL16</f>
        <v>0</v>
      </c>
      <c r="CM16" s="230">
        <f>'расчет цен и скидок'!CM16</f>
        <v>0</v>
      </c>
      <c r="CN16" s="230">
        <f>'расчет цен и скидок'!CN16</f>
        <v>0</v>
      </c>
    </row>
    <row r="17" spans="1:92" ht="15.75">
      <c r="A17" s="279" t="str">
        <f>'расчет цен и скидок'!A17</f>
        <v>ЗШБУ 7</v>
      </c>
      <c r="B17" s="308" t="str">
        <f>'расчет цен и скидок'!B17</f>
        <v>м/т по 50 кг</v>
      </c>
      <c r="C17" s="219">
        <f>'расчет цен и скидок'!C17</f>
        <v>0</v>
      </c>
      <c r="D17" s="219">
        <f>'расчет цен и скидок'!D17</f>
        <v>0</v>
      </c>
      <c r="E17" s="219">
        <f>'расчет цен и скидок'!E17</f>
        <v>0</v>
      </c>
      <c r="F17" s="219">
        <f>'расчет цен и скидок'!F17</f>
        <v>0</v>
      </c>
      <c r="G17" s="219">
        <f>'расчет цен и скидок'!G17</f>
        <v>0</v>
      </c>
      <c r="H17" s="219">
        <f>'расчет цен и скидок'!H17</f>
        <v>0</v>
      </c>
      <c r="I17" s="219">
        <f>'расчет цен и скидок'!I17</f>
        <v>0</v>
      </c>
      <c r="J17" s="219">
        <f>'расчет цен и скидок'!J17</f>
        <v>0</v>
      </c>
      <c r="K17" s="221">
        <f>'расчет цен и скидок'!K17</f>
        <v>3700</v>
      </c>
      <c r="L17" s="221">
        <f>'расчет цен и скидок'!L17</f>
        <v>4366</v>
      </c>
      <c r="M17" s="221">
        <f>'расчет цен и скидок'!M17</f>
        <v>0</v>
      </c>
      <c r="N17" s="221">
        <f>'расчет цен и скидок'!N17</f>
        <v>4255</v>
      </c>
      <c r="O17" s="221">
        <f>'расчет цен и скидок'!O17</f>
        <v>5020.9</v>
      </c>
      <c r="P17" s="232">
        <f>'расчет цен и скидок'!P17</f>
        <v>4250</v>
      </c>
      <c r="Q17" s="233">
        <f>'расчет цен и скидок'!Q17</f>
        <v>765</v>
      </c>
      <c r="R17" s="234">
        <f>'расчет цен и скидок'!R17</f>
        <v>5015</v>
      </c>
      <c r="S17" s="223">
        <f>'расчет цен и скидок'!S17</f>
        <v>0.15</v>
      </c>
      <c r="T17" s="224">
        <f>'расчет цен и скидок'!T17</f>
        <v>0.14864864864864866</v>
      </c>
      <c r="U17" s="291">
        <f>'расчет цен и скидок'!U17</f>
        <v>0.03</v>
      </c>
      <c r="V17" s="292">
        <f>'расчет цен и скидок'!V17</f>
        <v>4123</v>
      </c>
      <c r="W17" s="292">
        <f>'расчет цен и скидок'!W17</f>
        <v>4123</v>
      </c>
      <c r="X17" s="292">
        <f>'расчет цен и скидок'!X17</f>
        <v>4865.139999999999</v>
      </c>
      <c r="Y17" s="314">
        <f>'расчет цен и скидок'!Y17</f>
        <v>0</v>
      </c>
      <c r="Z17" s="311">
        <f>'расчет цен и скидок'!Z17</f>
        <v>0.08</v>
      </c>
      <c r="AA17" s="302">
        <f>'расчет цен и скидок'!AA17</f>
        <v>0</v>
      </c>
      <c r="AB17" s="302">
        <f>'расчет цен и скидок'!AB17</f>
        <v>0</v>
      </c>
      <c r="AC17" s="227">
        <f>'расчет цен и скидок'!AC17</f>
        <v>0</v>
      </c>
      <c r="AD17" s="228">
        <f>'расчет цен и скидок'!AD17</f>
        <v>0</v>
      </c>
      <c r="AE17" s="228">
        <f>'расчет цен и скидок'!AE17</f>
        <v>0</v>
      </c>
      <c r="AF17" s="228">
        <f>'расчет цен и скидок'!AF17</f>
        <v>0</v>
      </c>
      <c r="AG17" s="228">
        <f>'расчет цен и скидок'!AG17</f>
        <v>0</v>
      </c>
      <c r="AH17" s="228">
        <f>'расчет цен и скидок'!AH17</f>
        <v>0</v>
      </c>
      <c r="AI17" s="228">
        <f>'расчет цен и скидок'!AI17</f>
        <v>0</v>
      </c>
      <c r="AJ17" s="229" t="e">
        <f>'расчет цен и скидок'!AJ17</f>
        <v>#DIV/0!</v>
      </c>
      <c r="AK17" s="227">
        <f>'расчет цен и скидок'!AK17</f>
        <v>0</v>
      </c>
      <c r="AL17" s="228">
        <f>'расчет цен и скидок'!AL17</f>
        <v>0</v>
      </c>
      <c r="AM17" s="228">
        <f>'расчет цен и скидок'!AM17</f>
        <v>0</v>
      </c>
      <c r="AN17" s="228">
        <f>'расчет цен и скидок'!AN17</f>
        <v>0</v>
      </c>
      <c r="AO17" s="227">
        <f>'расчет цен и скидок'!AO17</f>
        <v>0</v>
      </c>
      <c r="AP17" s="228">
        <f>'расчет цен и скидок'!AP17</f>
        <v>0</v>
      </c>
      <c r="AQ17" s="228">
        <f>'расчет цен и скидок'!AQ17</f>
        <v>0</v>
      </c>
      <c r="AR17" s="228">
        <f>'расчет цен и скидок'!AR17</f>
        <v>0</v>
      </c>
      <c r="AS17" s="227">
        <f>'расчет цен и скидок'!AS17</f>
        <v>0</v>
      </c>
      <c r="AT17" s="228">
        <f>'расчет цен и скидок'!AT17</f>
        <v>0</v>
      </c>
      <c r="AU17" s="228">
        <f>'расчет цен и скидок'!AU17</f>
        <v>0</v>
      </c>
      <c r="AV17" s="228">
        <f>'расчет цен и скидок'!AV17</f>
        <v>0</v>
      </c>
      <c r="AW17" s="227">
        <f>'расчет цен и скидок'!AW17</f>
        <v>0</v>
      </c>
      <c r="AX17" s="228">
        <f>'расчет цен и скидок'!AX17</f>
        <v>0</v>
      </c>
      <c r="AY17" s="230">
        <f>'расчет цен и скидок'!AY17</f>
        <v>0</v>
      </c>
      <c r="AZ17" s="227">
        <f>'расчет цен и скидок'!AZ17</f>
        <v>0</v>
      </c>
      <c r="BA17" s="228">
        <f>'расчет цен и скидок'!BA17</f>
        <v>0</v>
      </c>
      <c r="BB17" s="230">
        <f>'расчет цен и скидок'!BB17</f>
        <v>0</v>
      </c>
      <c r="BC17" s="227">
        <f>'расчет цен и скидок'!BC17</f>
        <v>0</v>
      </c>
      <c r="BD17" s="230">
        <f>'расчет цен и скидок'!BD17</f>
        <v>0</v>
      </c>
      <c r="BE17" s="230">
        <f>'расчет цен и скидок'!BE17</f>
        <v>0</v>
      </c>
      <c r="BF17" s="218">
        <f>'расчет цен и скидок'!BF17</f>
        <v>0</v>
      </c>
      <c r="BG17" s="228">
        <f>'расчет цен и скидок'!BG17</f>
        <v>0</v>
      </c>
      <c r="BH17" s="230">
        <f>'расчет цен и скидок'!BH17</f>
        <v>0</v>
      </c>
      <c r="BI17" s="227">
        <f>'расчет цен и скидок'!BI17</f>
        <v>0</v>
      </c>
      <c r="BJ17" s="228">
        <f>'расчет цен и скидок'!BJ17</f>
        <v>0</v>
      </c>
      <c r="BK17" s="230">
        <f>'расчет цен и скидок'!BK17</f>
        <v>0</v>
      </c>
      <c r="BL17" s="230">
        <f>'расчет цен и скидок'!BL17</f>
        <v>0</v>
      </c>
      <c r="BM17" s="230">
        <f>'расчет цен и скидок'!BM17</f>
        <v>0</v>
      </c>
      <c r="BN17" s="230">
        <f>'расчет цен и скидок'!BN17</f>
        <v>0</v>
      </c>
      <c r="BO17" s="230">
        <f>'расчет цен и скидок'!BO17</f>
        <v>0</v>
      </c>
      <c r="BP17" s="230">
        <f>'расчет цен и скидок'!BP17</f>
        <v>0</v>
      </c>
      <c r="BQ17" s="230">
        <f>'расчет цен и скидок'!BQ17</f>
        <v>0</v>
      </c>
      <c r="BR17" s="230">
        <f>'расчет цен и скидок'!BR17</f>
        <v>0</v>
      </c>
      <c r="BS17" s="230">
        <f>'расчет цен и скидок'!BS17</f>
        <v>0</v>
      </c>
      <c r="BT17" s="230">
        <f>'расчет цен и скидок'!BT17</f>
        <v>0</v>
      </c>
      <c r="BU17" s="230">
        <f>'расчет цен и скидок'!BU17</f>
        <v>0</v>
      </c>
      <c r="BV17" s="230">
        <f>'расчет цен и скидок'!BV17</f>
        <v>0</v>
      </c>
      <c r="BW17" s="230">
        <f>'расчет цен и скидок'!BW17</f>
        <v>0</v>
      </c>
      <c r="BX17" s="230">
        <f>'расчет цен и скидок'!BX17</f>
        <v>0</v>
      </c>
      <c r="BY17" s="230">
        <f>'расчет цен и скидок'!BY17</f>
        <v>0</v>
      </c>
      <c r="BZ17" s="230">
        <f>'расчет цен и скидок'!BZ17</f>
        <v>0</v>
      </c>
      <c r="CA17" s="230">
        <f>'расчет цен и скидок'!CA17</f>
        <v>0</v>
      </c>
      <c r="CB17" s="230">
        <f>'расчет цен и скидок'!CB17</f>
        <v>0</v>
      </c>
      <c r="CC17" s="230">
        <f>'расчет цен и скидок'!CC17</f>
        <v>0</v>
      </c>
      <c r="CD17" s="230">
        <f>'расчет цен и скидок'!CD17</f>
        <v>0</v>
      </c>
      <c r="CE17" s="230">
        <f>'расчет цен и скидок'!CE17</f>
        <v>0</v>
      </c>
      <c r="CF17" s="230">
        <f>'расчет цен и скидок'!CF17</f>
        <v>0</v>
      </c>
      <c r="CG17" s="230">
        <f>'расчет цен и скидок'!CG17</f>
        <v>0</v>
      </c>
      <c r="CH17" s="230">
        <f>'расчет цен и скидок'!CH17</f>
        <v>0</v>
      </c>
      <c r="CI17" s="230">
        <f>'расчет цен и скидок'!CI17</f>
        <v>0</v>
      </c>
      <c r="CJ17" s="230">
        <f>'расчет цен и скидок'!CJ17</f>
        <v>0</v>
      </c>
      <c r="CK17" s="230">
        <f>'расчет цен и скидок'!CK17</f>
        <v>0</v>
      </c>
      <c r="CL17" s="230">
        <f>'расчет цен и скидок'!CL17</f>
        <v>0</v>
      </c>
      <c r="CM17" s="230">
        <f>'расчет цен и скидок'!CM17</f>
        <v>0</v>
      </c>
      <c r="CN17" s="230">
        <f>'расчет цен и скидок'!CN17</f>
        <v>0</v>
      </c>
    </row>
    <row r="18" spans="1:92" ht="15.75">
      <c r="A18" s="279" t="str">
        <f>'расчет цен и скидок'!A18</f>
        <v>ЗШБУ 7</v>
      </c>
      <c r="B18" s="308" t="str">
        <f>'расчет цен и скидок'!B18</f>
        <v>в МКР (без стоимости МКР)</v>
      </c>
      <c r="C18" s="219">
        <f>'расчет цен и скидок'!C18</f>
        <v>0</v>
      </c>
      <c r="D18" s="219">
        <f>'расчет цен и скидок'!D18</f>
        <v>0</v>
      </c>
      <c r="E18" s="219">
        <f>'расчет цен и скидок'!E18</f>
        <v>0</v>
      </c>
      <c r="F18" s="219">
        <f>'расчет цен и скидок'!F18</f>
        <v>0</v>
      </c>
      <c r="G18" s="219">
        <f>'расчет цен и скидок'!G18</f>
        <v>0</v>
      </c>
      <c r="H18" s="219">
        <f>'расчет цен и скидок'!H18</f>
        <v>0</v>
      </c>
      <c r="I18" s="219">
        <f>'расчет цен и скидок'!I18</f>
        <v>0</v>
      </c>
      <c r="J18" s="219">
        <f>'расчет цен и скидок'!J18</f>
        <v>0</v>
      </c>
      <c r="K18" s="220">
        <f>'расчет цен и скидок'!K18</f>
        <v>3200</v>
      </c>
      <c r="L18" s="220">
        <f>'расчет цен и скидок'!L18</f>
        <v>3776</v>
      </c>
      <c r="M18" s="220">
        <f>'расчет цен и скидок'!M18</f>
        <v>0</v>
      </c>
      <c r="N18" s="221">
        <f>'расчет цен и скидок'!N18</f>
        <v>3679.9999999999995</v>
      </c>
      <c r="O18" s="221">
        <f>'расчет цен и скидок'!O18</f>
        <v>4342.4</v>
      </c>
      <c r="P18" s="232">
        <f>'расчет цен и скидок'!P18</f>
        <v>3700</v>
      </c>
      <c r="Q18" s="233">
        <f>'расчет цен и скидок'!Q18</f>
        <v>666</v>
      </c>
      <c r="R18" s="234">
        <f>'расчет цен и скидок'!R18</f>
        <v>4366</v>
      </c>
      <c r="S18" s="223">
        <f>'расчет цен и скидок'!S18</f>
        <v>0.15</v>
      </c>
      <c r="T18" s="224">
        <f>'расчет цен и скидок'!T18</f>
        <v>0.15625</v>
      </c>
      <c r="U18" s="288">
        <f>'расчет цен и скидок'!U18</f>
        <v>0.03</v>
      </c>
      <c r="V18" s="243">
        <f>'расчет цен и скидок'!V18</f>
        <v>3589</v>
      </c>
      <c r="W18" s="243">
        <f>'расчет цен и скидок'!W18</f>
        <v>3589</v>
      </c>
      <c r="X18" s="289">
        <f>'расчет цен и скидок'!X18</f>
        <v>4235.0199999999995</v>
      </c>
      <c r="Y18" s="314">
        <f>'расчет цен и скидок'!Y18</f>
        <v>0</v>
      </c>
      <c r="Z18" s="311">
        <f>'расчет цен и скидок'!Z18</f>
        <v>0.08</v>
      </c>
      <c r="AA18" s="302">
        <f>'расчет цен и скидок'!AA18</f>
        <v>3404</v>
      </c>
      <c r="AB18" s="302">
        <f>'расчет цен и скидок'!AB18</f>
        <v>4016.72</v>
      </c>
      <c r="AC18" s="227">
        <f>'расчет цен и скидок'!AC18</f>
        <v>0</v>
      </c>
      <c r="AD18" s="228">
        <f>'расчет цен и скидок'!AD18</f>
        <v>0</v>
      </c>
      <c r="AE18" s="228">
        <f>'расчет цен и скидок'!AE18</f>
        <v>0</v>
      </c>
      <c r="AF18" s="228">
        <f>'расчет цен и скидок'!AF18</f>
        <v>0</v>
      </c>
      <c r="AG18" s="228">
        <f>'расчет цен и скидок'!AG18</f>
        <v>0</v>
      </c>
      <c r="AH18" s="228">
        <f>'расчет цен и скидок'!AH18</f>
        <v>0</v>
      </c>
      <c r="AI18" s="228">
        <f>'расчет цен и скидок'!AI18</f>
        <v>0</v>
      </c>
      <c r="AJ18" s="229" t="e">
        <f>'расчет цен и скидок'!AJ18</f>
        <v>#DIV/0!</v>
      </c>
      <c r="AK18" s="227">
        <f>'расчет цен и скидок'!AK18</f>
        <v>0</v>
      </c>
      <c r="AL18" s="228">
        <f>'расчет цен и скидок'!AL18</f>
        <v>0</v>
      </c>
      <c r="AM18" s="228">
        <f>'расчет цен и скидок'!AM18</f>
        <v>0</v>
      </c>
      <c r="AN18" s="228">
        <f>'расчет цен и скидок'!AN18</f>
        <v>0</v>
      </c>
      <c r="AO18" s="227">
        <f>'расчет цен и скидок'!AO18</f>
        <v>0</v>
      </c>
      <c r="AP18" s="228">
        <f>'расчет цен и скидок'!AP18</f>
        <v>0</v>
      </c>
      <c r="AQ18" s="228">
        <f>'расчет цен и скидок'!AQ18</f>
        <v>0</v>
      </c>
      <c r="AR18" s="228">
        <f>'расчет цен и скидок'!AR18</f>
        <v>0</v>
      </c>
      <c r="AS18" s="227">
        <f>'расчет цен и скидок'!AS18</f>
        <v>0</v>
      </c>
      <c r="AT18" s="228">
        <f>'расчет цен и скидок'!AT18</f>
        <v>0</v>
      </c>
      <c r="AU18" s="228">
        <f>'расчет цен и скидок'!AU18</f>
        <v>0</v>
      </c>
      <c r="AV18" s="228">
        <f>'расчет цен и скидок'!AV18</f>
        <v>0</v>
      </c>
      <c r="AW18" s="227">
        <f>'расчет цен и скидок'!AW18</f>
        <v>0</v>
      </c>
      <c r="AX18" s="228">
        <f>'расчет цен и скидок'!AX18</f>
        <v>0</v>
      </c>
      <c r="AY18" s="230">
        <f>'расчет цен и скидок'!AY18</f>
        <v>0</v>
      </c>
      <c r="AZ18" s="227">
        <f>'расчет цен и скидок'!AZ18</f>
        <v>0</v>
      </c>
      <c r="BA18" s="228">
        <f>'расчет цен и скидок'!BA18</f>
        <v>0</v>
      </c>
      <c r="BB18" s="230">
        <f>'расчет цен и скидок'!BB18</f>
        <v>0</v>
      </c>
      <c r="BC18" s="227">
        <f>'расчет цен и скидок'!BC18</f>
        <v>0</v>
      </c>
      <c r="BD18" s="230">
        <f>'расчет цен и скидок'!BD18</f>
        <v>0</v>
      </c>
      <c r="BE18" s="230">
        <f>'расчет цен и скидок'!BE18</f>
        <v>0</v>
      </c>
      <c r="BF18" s="218">
        <f>'расчет цен и скидок'!BF18</f>
        <v>0</v>
      </c>
      <c r="BG18" s="228">
        <f>'расчет цен и скидок'!BG18</f>
        <v>0</v>
      </c>
      <c r="BH18" s="230">
        <f>'расчет цен и скидок'!BH18</f>
        <v>0</v>
      </c>
      <c r="BI18" s="227">
        <f>'расчет цен и скидок'!BI18</f>
        <v>0</v>
      </c>
      <c r="BJ18" s="228">
        <f>'расчет цен и скидок'!BJ18</f>
        <v>0</v>
      </c>
      <c r="BK18" s="230">
        <f>'расчет цен и скидок'!BK18</f>
        <v>0</v>
      </c>
      <c r="BL18" s="230">
        <f>'расчет цен и скидок'!BL18</f>
        <v>0</v>
      </c>
      <c r="BM18" s="230">
        <f>'расчет цен и скидок'!BM18</f>
        <v>0</v>
      </c>
      <c r="BN18" s="230">
        <f>'расчет цен и скидок'!BN18</f>
        <v>0</v>
      </c>
      <c r="BO18" s="230">
        <f>'расчет цен и скидок'!BO18</f>
        <v>0</v>
      </c>
      <c r="BP18" s="230">
        <f>'расчет цен и скидок'!BP18</f>
        <v>0</v>
      </c>
      <c r="BQ18" s="230">
        <f>'расчет цен и скидок'!BQ18</f>
        <v>0</v>
      </c>
      <c r="BR18" s="230">
        <f>'расчет цен и скидок'!BR18</f>
        <v>0</v>
      </c>
      <c r="BS18" s="230">
        <f>'расчет цен и скидок'!BS18</f>
        <v>0</v>
      </c>
      <c r="BT18" s="230">
        <f>'расчет цен и скидок'!BT18</f>
        <v>0</v>
      </c>
      <c r="BU18" s="230">
        <f>'расчет цен и скидок'!BU18</f>
        <v>0</v>
      </c>
      <c r="BV18" s="230">
        <f>'расчет цен и скидок'!BV18</f>
        <v>0</v>
      </c>
      <c r="BW18" s="230">
        <f>'расчет цен и скидок'!BW18</f>
        <v>0</v>
      </c>
      <c r="BX18" s="230">
        <f>'расчет цен и скидок'!BX18</f>
        <v>0</v>
      </c>
      <c r="BY18" s="230">
        <f>'расчет цен и скидок'!BY18</f>
        <v>0</v>
      </c>
      <c r="BZ18" s="230">
        <f>'расчет цен и скидок'!BZ18</f>
        <v>0</v>
      </c>
      <c r="CA18" s="230">
        <f>'расчет цен и скидок'!CA18</f>
        <v>0</v>
      </c>
      <c r="CB18" s="230">
        <f>'расчет цен и скидок'!CB18</f>
        <v>0</v>
      </c>
      <c r="CC18" s="230">
        <f>'расчет цен и скидок'!CC18</f>
        <v>0</v>
      </c>
      <c r="CD18" s="230">
        <f>'расчет цен и скидок'!CD18</f>
        <v>0</v>
      </c>
      <c r="CE18" s="230">
        <f>'расчет цен и скидок'!CE18</f>
        <v>0</v>
      </c>
      <c r="CF18" s="230">
        <f>'расчет цен и скидок'!CF18</f>
        <v>0</v>
      </c>
      <c r="CG18" s="230">
        <f>'расчет цен и скидок'!CG18</f>
        <v>0</v>
      </c>
      <c r="CH18" s="230">
        <f>'расчет цен и скидок'!CH18</f>
        <v>0</v>
      </c>
      <c r="CI18" s="230">
        <f>'расчет цен и скидок'!CI18</f>
        <v>0</v>
      </c>
      <c r="CJ18" s="230">
        <f>'расчет цен и скидок'!CJ18</f>
        <v>0</v>
      </c>
      <c r="CK18" s="230">
        <f>'расчет цен и скидок'!CK18</f>
        <v>0</v>
      </c>
      <c r="CL18" s="230">
        <f>'расчет цен и скидок'!CL18</f>
        <v>0</v>
      </c>
      <c r="CM18" s="230">
        <f>'расчет цен и скидок'!CM18</f>
        <v>0</v>
      </c>
      <c r="CN18" s="230">
        <f>'расчет цен и скидок'!CN18</f>
        <v>0</v>
      </c>
    </row>
    <row r="19" spans="1:92" ht="15.75">
      <c r="A19" s="279" t="str">
        <f>'расчет цен и скидок'!A19</f>
        <v>ЗШБУ 7</v>
      </c>
      <c r="B19" s="308" t="str">
        <f>'расчет цен и скидок'!B19</f>
        <v>с учетом стоимости МКР (с вкладышем)</v>
      </c>
      <c r="C19" s="219">
        <f>'расчет цен и скидок'!C19</f>
        <v>0</v>
      </c>
      <c r="D19" s="219">
        <f>'расчет цен и скидок'!D19</f>
        <v>0</v>
      </c>
      <c r="E19" s="219">
        <f>'расчет цен и скидок'!E19</f>
        <v>0</v>
      </c>
      <c r="F19" s="219">
        <f>'расчет цен и скидок'!F19</f>
        <v>0</v>
      </c>
      <c r="G19" s="219">
        <f>'расчет цен и скидок'!G19</f>
        <v>0</v>
      </c>
      <c r="H19" s="219">
        <f>'расчет цен и скидок'!H19</f>
        <v>0</v>
      </c>
      <c r="I19" s="219">
        <f>'расчет цен и скидок'!I19</f>
        <v>0</v>
      </c>
      <c r="J19" s="219">
        <f>'расчет цен и скидок'!J19</f>
        <v>0</v>
      </c>
      <c r="K19" s="220">
        <f>'расчет цен и скидок'!K19</f>
        <v>3435</v>
      </c>
      <c r="L19" s="220">
        <f>'расчет цен и скидок'!L19</f>
        <v>4053.3</v>
      </c>
      <c r="M19" s="220">
        <f>'расчет цен и скидок'!M19</f>
        <v>0</v>
      </c>
      <c r="N19" s="221">
        <f>'расчет цен и скидок'!N19</f>
        <v>3950.2499999999995</v>
      </c>
      <c r="O19" s="221">
        <f>'расчет цен и скидок'!O19</f>
        <v>4661.294999999999</v>
      </c>
      <c r="P19" s="235">
        <f>'расчет цен и скидок'!P19</f>
        <v>3900</v>
      </c>
      <c r="Q19" s="236">
        <f>'расчет цен и скидок'!Q19</f>
        <v>702</v>
      </c>
      <c r="R19" s="236">
        <f>'расчет цен и скидок'!R19</f>
        <v>4602</v>
      </c>
      <c r="S19" s="223">
        <f>'расчет цен и скидок'!S19</f>
        <v>0.15</v>
      </c>
      <c r="T19" s="224">
        <f>'расчет цен и скидок'!T19</f>
        <v>0.13537117903930126</v>
      </c>
      <c r="U19" s="291">
        <f>'расчет цен и скидок'!U19</f>
        <v>0.03</v>
      </c>
      <c r="V19" s="292">
        <f>'расчет цен и скидок'!V19</f>
        <v>3789</v>
      </c>
      <c r="W19" s="292">
        <f>'расчет цен и скидок'!W19</f>
        <v>3789</v>
      </c>
      <c r="X19" s="292">
        <f>'расчет цен и скидок'!X19</f>
        <v>4471.0199999999995</v>
      </c>
      <c r="Y19" s="314">
        <f>'расчет цен и скидок'!Y19</f>
        <v>0</v>
      </c>
      <c r="Z19" s="311">
        <f>'расчет цен и скидок'!Z19</f>
        <v>0.08</v>
      </c>
      <c r="AA19" s="302">
        <f>'расчет цен и скидок'!AA19</f>
        <v>3604</v>
      </c>
      <c r="AB19" s="302">
        <f>'расчет цен и скидок'!AB19</f>
        <v>4252.719999999999</v>
      </c>
      <c r="AC19" s="227">
        <f>'расчет цен и скидок'!AC19</f>
        <v>0</v>
      </c>
      <c r="AD19" s="228">
        <f>'расчет цен и скидок'!AD19</f>
        <v>0</v>
      </c>
      <c r="AE19" s="228">
        <f>'расчет цен и скидок'!AE19</f>
        <v>0</v>
      </c>
      <c r="AF19" s="228">
        <f>'расчет цен и скидок'!AF19</f>
        <v>0</v>
      </c>
      <c r="AG19" s="228">
        <f>'расчет цен и скидок'!AG19</f>
        <v>0</v>
      </c>
      <c r="AH19" s="228">
        <f>'расчет цен и скидок'!AH19</f>
        <v>0</v>
      </c>
      <c r="AI19" s="228">
        <f>'расчет цен и скидок'!AI19</f>
        <v>0</v>
      </c>
      <c r="AJ19" s="229">
        <f>'расчет цен и скидок'!AJ19</f>
        <v>0</v>
      </c>
      <c r="AK19" s="227">
        <f>'расчет цен и скидок'!AK19</f>
        <v>0</v>
      </c>
      <c r="AL19" s="228">
        <f>'расчет цен и скидок'!AL19</f>
        <v>0</v>
      </c>
      <c r="AM19" s="228">
        <f>'расчет цен и скидок'!AM19</f>
        <v>0</v>
      </c>
      <c r="AN19" s="228">
        <f>'расчет цен и скидок'!AN19</f>
        <v>0</v>
      </c>
      <c r="AO19" s="227">
        <f>'расчет цен и скидок'!AO19</f>
        <v>0</v>
      </c>
      <c r="AP19" s="228">
        <f>'расчет цен и скидок'!AP19</f>
        <v>0</v>
      </c>
      <c r="AQ19" s="228">
        <f>'расчет цен и скидок'!AQ19</f>
        <v>0</v>
      </c>
      <c r="AR19" s="228">
        <f>'расчет цен и скидок'!AR19</f>
        <v>0</v>
      </c>
      <c r="AS19" s="227">
        <f>'расчет цен и скидок'!AS19</f>
        <v>0</v>
      </c>
      <c r="AT19" s="228">
        <f>'расчет цен и скидок'!AT19</f>
        <v>0</v>
      </c>
      <c r="AU19" s="228">
        <f>'расчет цен и скидок'!AU19</f>
        <v>0</v>
      </c>
      <c r="AV19" s="228">
        <f>'расчет цен и скидок'!AV19</f>
        <v>0</v>
      </c>
      <c r="AW19" s="227">
        <f>'расчет цен и скидок'!AW19</f>
        <v>0</v>
      </c>
      <c r="AX19" s="228">
        <f>'расчет цен и скидок'!AX19</f>
        <v>0</v>
      </c>
      <c r="AY19" s="230">
        <f>'расчет цен и скидок'!AY19</f>
        <v>0</v>
      </c>
      <c r="AZ19" s="227">
        <f>'расчет цен и скидок'!AZ19</f>
        <v>0</v>
      </c>
      <c r="BA19" s="228">
        <f>'расчет цен и скидок'!BA19</f>
        <v>0</v>
      </c>
      <c r="BB19" s="230">
        <f>'расчет цен и скидок'!BB19</f>
        <v>0</v>
      </c>
      <c r="BC19" s="227">
        <f>'расчет цен и скидок'!BC19</f>
        <v>0</v>
      </c>
      <c r="BD19" s="230">
        <f>'расчет цен и скидок'!BD19</f>
        <v>0</v>
      </c>
      <c r="BE19" s="230">
        <f>'расчет цен и скидок'!BE19</f>
        <v>0</v>
      </c>
      <c r="BF19" s="218">
        <f>'расчет цен и скидок'!BF19</f>
        <v>0</v>
      </c>
      <c r="BG19" s="228">
        <f>'расчет цен и скидок'!BG19</f>
        <v>0</v>
      </c>
      <c r="BH19" s="230">
        <f>'расчет цен и скидок'!BH19</f>
        <v>0</v>
      </c>
      <c r="BI19" s="227">
        <f>'расчет цен и скидок'!BI19</f>
        <v>0</v>
      </c>
      <c r="BJ19" s="228">
        <f>'расчет цен и скидок'!BJ19</f>
        <v>0</v>
      </c>
      <c r="BK19" s="230">
        <f>'расчет цен и скидок'!BK19</f>
        <v>0</v>
      </c>
      <c r="BL19" s="230">
        <f>'расчет цен и скидок'!BL19</f>
        <v>0</v>
      </c>
      <c r="BM19" s="230">
        <f>'расчет цен и скидок'!BM19</f>
        <v>0</v>
      </c>
      <c r="BN19" s="230">
        <f>'расчет цен и скидок'!BN19</f>
        <v>0</v>
      </c>
      <c r="BO19" s="230">
        <f>'расчет цен и скидок'!BO19</f>
        <v>0</v>
      </c>
      <c r="BP19" s="230">
        <f>'расчет цен и скидок'!BP19</f>
        <v>0</v>
      </c>
      <c r="BQ19" s="230">
        <f>'расчет цен и скидок'!BQ19</f>
        <v>0</v>
      </c>
      <c r="BR19" s="230">
        <f>'расчет цен и скидок'!BR19</f>
        <v>0</v>
      </c>
      <c r="BS19" s="230">
        <f>'расчет цен и скидок'!BS19</f>
        <v>0</v>
      </c>
      <c r="BT19" s="230">
        <f>'расчет цен и скидок'!BT19</f>
        <v>0</v>
      </c>
      <c r="BU19" s="230">
        <f>'расчет цен и скидок'!BU19</f>
        <v>0</v>
      </c>
      <c r="BV19" s="230">
        <f>'расчет цен и скидок'!BV19</f>
        <v>0</v>
      </c>
      <c r="BW19" s="230">
        <f>'расчет цен и скидок'!BW19</f>
        <v>0</v>
      </c>
      <c r="BX19" s="230">
        <f>'расчет цен и скидок'!BX19</f>
        <v>0</v>
      </c>
      <c r="BY19" s="230">
        <f>'расчет цен и скидок'!BY19</f>
        <v>0</v>
      </c>
      <c r="BZ19" s="230">
        <f>'расчет цен и скидок'!BZ19</f>
        <v>0</v>
      </c>
      <c r="CA19" s="230">
        <f>'расчет цен и скидок'!CA19</f>
        <v>0</v>
      </c>
      <c r="CB19" s="230">
        <f>'расчет цен и скидок'!CB19</f>
        <v>0</v>
      </c>
      <c r="CC19" s="230">
        <f>'расчет цен и скидок'!CC19</f>
        <v>0</v>
      </c>
      <c r="CD19" s="230">
        <f>'расчет цен и скидок'!CD19</f>
        <v>0</v>
      </c>
      <c r="CE19" s="230">
        <f>'расчет цен и скидок'!CE19</f>
        <v>0</v>
      </c>
      <c r="CF19" s="230">
        <f>'расчет цен и скидок'!CF19</f>
        <v>0</v>
      </c>
      <c r="CG19" s="230">
        <f>'расчет цен и скидок'!CG19</f>
        <v>0</v>
      </c>
      <c r="CH19" s="230">
        <f>'расчет цен и скидок'!CH19</f>
        <v>0</v>
      </c>
      <c r="CI19" s="230">
        <f>'расчет цен и скидок'!CI19</f>
        <v>0</v>
      </c>
      <c r="CJ19" s="230">
        <f>'расчет цен и скидок'!CJ19</f>
        <v>0</v>
      </c>
      <c r="CK19" s="230">
        <f>'расчет цен и скидок'!CK19</f>
        <v>0</v>
      </c>
      <c r="CL19" s="230">
        <f>'расчет цен и скидок'!CL19</f>
        <v>0</v>
      </c>
      <c r="CM19" s="230">
        <f>'расчет цен и скидок'!CM19</f>
        <v>0</v>
      </c>
      <c r="CN19" s="230">
        <f>'расчет цен и скидок'!CN19</f>
        <v>0</v>
      </c>
    </row>
    <row r="20" spans="1:92" s="217" customFormat="1" ht="15.75">
      <c r="A20" s="279"/>
      <c r="B20" s="308"/>
      <c r="C20" s="219">
        <f>'расчет цен и скидок'!C20</f>
        <v>0</v>
      </c>
      <c r="D20" s="219">
        <f>'расчет цен и скидок'!D20</f>
        <v>0</v>
      </c>
      <c r="E20" s="219">
        <f>'расчет цен и скидок'!E20</f>
        <v>0</v>
      </c>
      <c r="F20" s="219">
        <f>'расчет цен и скидок'!F20</f>
        <v>0</v>
      </c>
      <c r="G20" s="219">
        <f>'расчет цен и скидок'!G20</f>
        <v>0</v>
      </c>
      <c r="H20" s="219">
        <f>'расчет цен и скидок'!H20</f>
        <v>0</v>
      </c>
      <c r="I20" s="219">
        <f>'расчет цен и скидок'!I20</f>
        <v>0</v>
      </c>
      <c r="J20" s="219">
        <f>'расчет цен и скидок'!J20</f>
        <v>0</v>
      </c>
      <c r="K20" s="231">
        <f>'расчет цен и скидок'!K20</f>
        <v>0</v>
      </c>
      <c r="L20" s="231">
        <f>'расчет цен и скидок'!L20</f>
        <v>0</v>
      </c>
      <c r="M20" s="231">
        <f>'расчет цен и скидок'!M20</f>
        <v>0</v>
      </c>
      <c r="N20" s="221">
        <f>'расчет цен и скидок'!N20</f>
        <v>0</v>
      </c>
      <c r="O20" s="221">
        <f>'расчет цен и скидок'!O20</f>
        <v>0</v>
      </c>
      <c r="P20" s="232">
        <f>'расчет цен и скидок'!P20</f>
        <v>0</v>
      </c>
      <c r="Q20" s="233">
        <f>'расчет цен и скидок'!Q20</f>
        <v>0</v>
      </c>
      <c r="R20" s="234">
        <f>'расчет цен и скидок'!R20</f>
        <v>0</v>
      </c>
      <c r="S20" s="223">
        <f>'расчет цен и скидок'!S20</f>
        <v>0</v>
      </c>
      <c r="T20" s="224">
        <f>'расчет цен и скидок'!T20</f>
        <v>0</v>
      </c>
      <c r="U20" s="250"/>
      <c r="V20" s="221"/>
      <c r="W20" s="221"/>
      <c r="X20" s="221"/>
      <c r="Y20" s="225"/>
      <c r="Z20" s="311"/>
      <c r="AA20" s="302">
        <f>'расчет цен и скидок'!AA20</f>
        <v>0</v>
      </c>
      <c r="AB20" s="302">
        <f>'расчет цен и скидок'!AB20</f>
        <v>0</v>
      </c>
      <c r="AC20" s="227">
        <f>'расчет цен и скидок'!AC20</f>
        <v>0</v>
      </c>
      <c r="AD20" s="239">
        <f>'расчет цен и скидок'!AD20</f>
        <v>0</v>
      </c>
      <c r="AE20" s="239">
        <f>'расчет цен и скидок'!AE20</f>
        <v>0</v>
      </c>
      <c r="AF20" s="239">
        <f>'расчет цен и скидок'!AF20</f>
        <v>0</v>
      </c>
      <c r="AG20" s="239">
        <f>'расчет цен и скидок'!AG20</f>
        <v>0</v>
      </c>
      <c r="AH20" s="239">
        <f>'расчет цен и скидок'!AH20</f>
        <v>0</v>
      </c>
      <c r="AI20" s="239">
        <f>'расчет цен и скидок'!AI20</f>
        <v>0</v>
      </c>
      <c r="AJ20" s="229" t="e">
        <f>'расчет цен и скидок'!AJ20</f>
        <v>#DIV/0!</v>
      </c>
      <c r="AK20" s="227">
        <f>'расчет цен и скидок'!AK20</f>
        <v>0</v>
      </c>
      <c r="AL20" s="239">
        <f>'расчет цен и скидок'!AL20</f>
        <v>0</v>
      </c>
      <c r="AM20" s="239">
        <f>'расчет цен и скидок'!AM20</f>
        <v>0</v>
      </c>
      <c r="AN20" s="239">
        <f>'расчет цен и скидок'!AN20</f>
        <v>0</v>
      </c>
      <c r="AO20" s="227">
        <f>'расчет цен и скидок'!AO20</f>
        <v>0</v>
      </c>
      <c r="AP20" s="239">
        <f>'расчет цен и скидок'!AP20</f>
        <v>0</v>
      </c>
      <c r="AQ20" s="239">
        <f>'расчет цен и скидок'!AQ20</f>
        <v>0</v>
      </c>
      <c r="AR20" s="239">
        <f>'расчет цен и скидок'!AR20</f>
        <v>0</v>
      </c>
      <c r="AS20" s="227">
        <f>'расчет цен и скидок'!AS20</f>
        <v>0</v>
      </c>
      <c r="AT20" s="239">
        <f>'расчет цен и скидок'!AT20</f>
        <v>0</v>
      </c>
      <c r="AU20" s="239">
        <f>'расчет цен и скидок'!AU20</f>
        <v>0</v>
      </c>
      <c r="AV20" s="239">
        <f>'расчет цен и скидок'!AV20</f>
        <v>0</v>
      </c>
      <c r="AW20" s="227">
        <f>'расчет цен и скидок'!AW20</f>
        <v>0</v>
      </c>
      <c r="AX20" s="239">
        <f>'расчет цен и скидок'!AX20</f>
        <v>0</v>
      </c>
      <c r="AY20" s="217">
        <f>'расчет цен и скидок'!AY20</f>
        <v>0</v>
      </c>
      <c r="AZ20" s="227">
        <f>'расчет цен и скидок'!AZ20</f>
        <v>0</v>
      </c>
      <c r="BA20" s="239">
        <f>'расчет цен и скидок'!BA20</f>
        <v>0</v>
      </c>
      <c r="BB20" s="217">
        <f>'расчет цен и скидок'!BB20</f>
        <v>0</v>
      </c>
      <c r="BC20" s="227">
        <f>'расчет цен и скидок'!BC20</f>
        <v>0</v>
      </c>
      <c r="BD20" s="217">
        <f>'расчет цен и скидок'!BD20</f>
        <v>0</v>
      </c>
      <c r="BE20" s="217">
        <f>'расчет цен и скидок'!BE20</f>
        <v>0</v>
      </c>
      <c r="BF20" s="218">
        <f>'расчет цен и скидок'!BF20</f>
        <v>0</v>
      </c>
      <c r="BG20" s="239">
        <f>'расчет цен и скидок'!BG20</f>
        <v>0</v>
      </c>
      <c r="BH20" s="217">
        <f>'расчет цен и скидок'!BH20</f>
        <v>0</v>
      </c>
      <c r="BI20" s="227">
        <f>'расчет цен и скидок'!BI20</f>
        <v>0</v>
      </c>
      <c r="BJ20" s="239">
        <f>'расчет цен и скидок'!BJ20</f>
        <v>0</v>
      </c>
      <c r="BK20" s="217">
        <f>'расчет цен и скидок'!BK20</f>
        <v>0</v>
      </c>
      <c r="BL20" s="217">
        <f>'расчет цен и скидок'!BL20</f>
        <v>0</v>
      </c>
      <c r="BM20" s="217">
        <f>'расчет цен и скидок'!BM20</f>
        <v>0</v>
      </c>
      <c r="BN20" s="217">
        <f>'расчет цен и скидок'!BN20</f>
        <v>0</v>
      </c>
      <c r="BO20" s="217">
        <f>'расчет цен и скидок'!BO20</f>
        <v>0</v>
      </c>
      <c r="BP20" s="217">
        <f>'расчет цен и скидок'!BP20</f>
        <v>0</v>
      </c>
      <c r="BQ20" s="217">
        <f>'расчет цен и скидок'!BQ20</f>
        <v>0</v>
      </c>
      <c r="BR20" s="217">
        <f>'расчет цен и скидок'!BR20</f>
        <v>0</v>
      </c>
      <c r="BS20" s="217">
        <f>'расчет цен и скидок'!BS20</f>
        <v>0</v>
      </c>
      <c r="BT20" s="217">
        <f>'расчет цен и скидок'!BT20</f>
        <v>0</v>
      </c>
      <c r="BU20" s="217">
        <f>'расчет цен и скидок'!BU20</f>
        <v>0</v>
      </c>
      <c r="BV20" s="217">
        <f>'расчет цен и скидок'!BV20</f>
        <v>0</v>
      </c>
      <c r="BW20" s="217">
        <f>'расчет цен и скидок'!BW20</f>
        <v>0</v>
      </c>
      <c r="BX20" s="217">
        <f>'расчет цен и скидок'!BX20</f>
        <v>0</v>
      </c>
      <c r="BY20" s="217">
        <f>'расчет цен и скидок'!BY20</f>
        <v>0</v>
      </c>
      <c r="BZ20" s="217">
        <f>'расчет цен и скидок'!BZ20</f>
        <v>0</v>
      </c>
      <c r="CA20" s="217">
        <f>'расчет цен и скидок'!CA20</f>
        <v>0</v>
      </c>
      <c r="CB20" s="217">
        <f>'расчет цен и скидок'!CB20</f>
        <v>0</v>
      </c>
      <c r="CC20" s="217">
        <f>'расчет цен и скидок'!CC20</f>
        <v>0</v>
      </c>
      <c r="CD20" s="217">
        <f>'расчет цен и скидок'!CD20</f>
        <v>0</v>
      </c>
      <c r="CE20" s="217">
        <f>'расчет цен и скидок'!CE20</f>
        <v>0</v>
      </c>
      <c r="CF20" s="217">
        <f>'расчет цен и скидок'!CF20</f>
        <v>0</v>
      </c>
      <c r="CG20" s="217">
        <f>'расчет цен и скидок'!CG20</f>
        <v>0</v>
      </c>
      <c r="CH20" s="217">
        <f>'расчет цен и скидок'!CH20</f>
        <v>0</v>
      </c>
      <c r="CI20" s="217">
        <f>'расчет цен и скидок'!CI20</f>
        <v>0</v>
      </c>
      <c r="CJ20" s="217">
        <f>'расчет цен и скидок'!CJ20</f>
        <v>0</v>
      </c>
      <c r="CK20" s="217">
        <f>'расчет цен и скидок'!CK20</f>
        <v>0</v>
      </c>
      <c r="CL20" s="217">
        <f>'расчет цен и скидок'!CL20</f>
        <v>0</v>
      </c>
      <c r="CM20" s="217">
        <f>'расчет цен и скидок'!CM20</f>
        <v>0</v>
      </c>
      <c r="CN20" s="217">
        <f>'расчет цен и скидок'!CN20</f>
        <v>0</v>
      </c>
    </row>
    <row r="21" spans="1:92" ht="15.75">
      <c r="A21" s="279" t="str">
        <f>'расчет цен и скидок'!A21</f>
        <v>МШ-28</v>
      </c>
      <c r="B21" s="308" t="str">
        <f>'расчет цен и скидок'!B21</f>
        <v>м/т по 50 кг</v>
      </c>
      <c r="C21" s="219">
        <f>'расчет цен и скидок'!C21</f>
        <v>0</v>
      </c>
      <c r="D21" s="219">
        <f>'расчет цен и скидок'!D21</f>
        <v>0</v>
      </c>
      <c r="E21" s="219">
        <f>'расчет цен и скидок'!E21</f>
        <v>0</v>
      </c>
      <c r="F21" s="219">
        <f>'расчет цен и скидок'!F21</f>
        <v>0</v>
      </c>
      <c r="G21" s="219">
        <f>'расчет цен и скидок'!G21</f>
        <v>0</v>
      </c>
      <c r="H21" s="219">
        <f>'расчет цен и скидок'!H21</f>
        <v>0</v>
      </c>
      <c r="I21" s="219">
        <f>'расчет цен и скидок'!I21</f>
        <v>0</v>
      </c>
      <c r="J21" s="219">
        <f>'расчет цен и скидок'!J21</f>
        <v>0</v>
      </c>
      <c r="K21" s="221">
        <f>'расчет цен и скидок'!K21</f>
        <v>3700</v>
      </c>
      <c r="L21" s="221">
        <f>'расчет цен и скидок'!L21</f>
        <v>4366</v>
      </c>
      <c r="M21" s="221">
        <f>'расчет цен и скидок'!M21</f>
        <v>0</v>
      </c>
      <c r="N21" s="221">
        <f>'расчет цен и скидок'!N21</f>
        <v>4255</v>
      </c>
      <c r="O21" s="221">
        <f>'расчет цен и скидок'!O21</f>
        <v>5020.9</v>
      </c>
      <c r="P21" s="232">
        <f>'расчет цен и скидок'!P21</f>
        <v>4250</v>
      </c>
      <c r="Q21" s="233">
        <f>'расчет цен и скидок'!Q21</f>
        <v>765</v>
      </c>
      <c r="R21" s="234">
        <f>'расчет цен и скидок'!R21</f>
        <v>5015</v>
      </c>
      <c r="S21" s="223">
        <f>'расчет цен и скидок'!S21</f>
        <v>0.15</v>
      </c>
      <c r="T21" s="224">
        <f>'расчет цен и скидок'!T21</f>
        <v>0.14864864864864866</v>
      </c>
      <c r="U21" s="291">
        <f>'расчет цен и скидок'!U21</f>
        <v>0.03</v>
      </c>
      <c r="V21" s="292">
        <f>'расчет цен и скидок'!V21</f>
        <v>4123</v>
      </c>
      <c r="W21" s="292">
        <f>'расчет цен и скидок'!W21</f>
        <v>4123</v>
      </c>
      <c r="X21" s="292">
        <f>'расчет цен и скидок'!X21</f>
        <v>4865.139999999999</v>
      </c>
      <c r="Y21" s="314">
        <f>'расчет цен и скидок'!Y21</f>
        <v>0</v>
      </c>
      <c r="Z21" s="311">
        <f>'расчет цен и скидок'!Z21</f>
        <v>0.08</v>
      </c>
      <c r="AA21" s="302">
        <f>'расчет цен и скидок'!AA21</f>
        <v>3910</v>
      </c>
      <c r="AB21" s="302">
        <f>'расчет цен и скидок'!AB21</f>
        <v>4613.8</v>
      </c>
      <c r="AC21" s="227">
        <f>'расчет цен и скидок'!AC21</f>
        <v>0</v>
      </c>
      <c r="AD21" s="228">
        <f>'расчет цен и скидок'!AD21</f>
        <v>0</v>
      </c>
      <c r="AE21" s="228">
        <f>'расчет цен и скидок'!AE21</f>
        <v>0</v>
      </c>
      <c r="AF21" s="228">
        <f>'расчет цен и скидок'!AF21</f>
        <v>0</v>
      </c>
      <c r="AG21" s="228">
        <f>'расчет цен и скидок'!AG21</f>
        <v>0</v>
      </c>
      <c r="AH21" s="228">
        <f>'расчет цен и скидок'!AH21</f>
        <v>0</v>
      </c>
      <c r="AI21" s="228">
        <f>'расчет цен и скидок'!AI21</f>
        <v>0</v>
      </c>
      <c r="AJ21" s="229" t="e">
        <f>'расчет цен и скидок'!AJ21</f>
        <v>#DIV/0!</v>
      </c>
      <c r="AK21" s="227">
        <f>'расчет цен и скидок'!AK21</f>
        <v>0</v>
      </c>
      <c r="AL21" s="228">
        <f>'расчет цен и скидок'!AL21</f>
        <v>0</v>
      </c>
      <c r="AM21" s="228">
        <f>'расчет цен и скидок'!AM21</f>
        <v>0</v>
      </c>
      <c r="AN21" s="228">
        <f>'расчет цен и скидок'!AN21</f>
        <v>0</v>
      </c>
      <c r="AO21" s="227">
        <f>'расчет цен и скидок'!AO21</f>
        <v>0</v>
      </c>
      <c r="AP21" s="228">
        <f>'расчет цен и скидок'!AP21</f>
        <v>0</v>
      </c>
      <c r="AQ21" s="228">
        <f>'расчет цен и скидок'!AQ21</f>
        <v>0</v>
      </c>
      <c r="AR21" s="228">
        <f>'расчет цен и скидок'!AR21</f>
        <v>0</v>
      </c>
      <c r="AS21" s="227">
        <f>'расчет цен и скидок'!AS21</f>
        <v>0</v>
      </c>
      <c r="AT21" s="228">
        <f>'расчет цен и скидок'!AT21</f>
        <v>0</v>
      </c>
      <c r="AU21" s="228">
        <f>'расчет цен и скидок'!AU21</f>
        <v>0</v>
      </c>
      <c r="AV21" s="228">
        <f>'расчет цен и скидок'!AV21</f>
        <v>0</v>
      </c>
      <c r="AW21" s="227">
        <f>'расчет цен и скидок'!AW21</f>
        <v>0</v>
      </c>
      <c r="AX21" s="228">
        <f>'расчет цен и скидок'!AX21</f>
        <v>0</v>
      </c>
      <c r="AY21" s="230">
        <f>'расчет цен и скидок'!AY21</f>
        <v>0</v>
      </c>
      <c r="AZ21" s="227">
        <f>'расчет цен и скидок'!AZ21</f>
        <v>0</v>
      </c>
      <c r="BA21" s="228">
        <f>'расчет цен и скидок'!BA21</f>
        <v>0</v>
      </c>
      <c r="BB21" s="230">
        <f>'расчет цен и скидок'!BB21</f>
        <v>0</v>
      </c>
      <c r="BC21" s="227">
        <f>'расчет цен и скидок'!BC21</f>
        <v>0</v>
      </c>
      <c r="BD21" s="230">
        <f>'расчет цен и скидок'!BD21</f>
        <v>0</v>
      </c>
      <c r="BE21" s="230">
        <f>'расчет цен и скидок'!BE21</f>
        <v>0</v>
      </c>
      <c r="BF21" s="218">
        <f>'расчет цен и скидок'!BF21</f>
        <v>0</v>
      </c>
      <c r="BG21" s="228">
        <f>'расчет цен и скидок'!BG21</f>
        <v>0</v>
      </c>
      <c r="BH21" s="230">
        <f>'расчет цен и скидок'!BH21</f>
        <v>0</v>
      </c>
      <c r="BI21" s="227">
        <f>'расчет цен и скидок'!BI21</f>
        <v>0</v>
      </c>
      <c r="BJ21" s="228">
        <f>'расчет цен и скидок'!BJ21</f>
        <v>0</v>
      </c>
      <c r="BK21" s="230">
        <f>'расчет цен и скидок'!BK21</f>
        <v>0</v>
      </c>
      <c r="BL21" s="230">
        <f>'расчет цен и скидок'!BL21</f>
        <v>0</v>
      </c>
      <c r="BM21" s="230">
        <f>'расчет цен и скидок'!BM21</f>
        <v>0</v>
      </c>
      <c r="BN21" s="230">
        <f>'расчет цен и скидок'!BN21</f>
        <v>0</v>
      </c>
      <c r="BO21" s="230">
        <f>'расчет цен и скидок'!BO21</f>
        <v>0</v>
      </c>
      <c r="BP21" s="230">
        <f>'расчет цен и скидок'!BP21</f>
        <v>0</v>
      </c>
      <c r="BQ21" s="230">
        <f>'расчет цен и скидок'!BQ21</f>
        <v>0</v>
      </c>
      <c r="BR21" s="230">
        <f>'расчет цен и скидок'!BR21</f>
        <v>0</v>
      </c>
      <c r="BS21" s="230">
        <f>'расчет цен и скидок'!BS21</f>
        <v>0</v>
      </c>
      <c r="BT21" s="230">
        <f>'расчет цен и скидок'!BT21</f>
        <v>0</v>
      </c>
      <c r="BU21" s="230">
        <f>'расчет цен и скидок'!BU21</f>
        <v>0</v>
      </c>
      <c r="BV21" s="230">
        <f>'расчет цен и скидок'!BV21</f>
        <v>0</v>
      </c>
      <c r="BW21" s="230">
        <f>'расчет цен и скидок'!BW21</f>
        <v>0</v>
      </c>
      <c r="BX21" s="230">
        <f>'расчет цен и скидок'!BX21</f>
        <v>0</v>
      </c>
      <c r="BY21" s="230">
        <f>'расчет цен и скидок'!BY21</f>
        <v>0</v>
      </c>
      <c r="BZ21" s="230">
        <f>'расчет цен и скидок'!BZ21</f>
        <v>0</v>
      </c>
      <c r="CA21" s="230">
        <f>'расчет цен и скидок'!CA21</f>
        <v>0</v>
      </c>
      <c r="CB21" s="230">
        <f>'расчет цен и скидок'!CB21</f>
        <v>0</v>
      </c>
      <c r="CC21" s="230">
        <f>'расчет цен и скидок'!CC21</f>
        <v>0</v>
      </c>
      <c r="CD21" s="230">
        <f>'расчет цен и скидок'!CD21</f>
        <v>0</v>
      </c>
      <c r="CE21" s="230">
        <f>'расчет цен и скидок'!CE21</f>
        <v>0</v>
      </c>
      <c r="CF21" s="230">
        <f>'расчет цен и скидок'!CF21</f>
        <v>0</v>
      </c>
      <c r="CG21" s="230">
        <f>'расчет цен и скидок'!CG21</f>
        <v>0</v>
      </c>
      <c r="CH21" s="230">
        <f>'расчет цен и скидок'!CH21</f>
        <v>0</v>
      </c>
      <c r="CI21" s="230">
        <f>'расчет цен и скидок'!CI21</f>
        <v>0</v>
      </c>
      <c r="CJ21" s="230">
        <f>'расчет цен и скидок'!CJ21</f>
        <v>0</v>
      </c>
      <c r="CK21" s="230">
        <f>'расчет цен и скидок'!CK21</f>
        <v>0</v>
      </c>
      <c r="CL21" s="230">
        <f>'расчет цен и скидок'!CL21</f>
        <v>0</v>
      </c>
      <c r="CM21" s="230">
        <f>'расчет цен и скидок'!CM21</f>
        <v>0</v>
      </c>
      <c r="CN21" s="230">
        <f>'расчет цен и скидок'!CN21</f>
        <v>0</v>
      </c>
    </row>
    <row r="22" spans="1:92" ht="15.75">
      <c r="A22" s="279" t="str">
        <f>'расчет цен и скидок'!A22</f>
        <v>МШ-28</v>
      </c>
      <c r="B22" s="308" t="str">
        <f>'расчет цен и скидок'!B22</f>
        <v>в МКР (без стоимости МКР)</v>
      </c>
      <c r="C22" s="219">
        <f>'расчет цен и скидок'!C22</f>
        <v>0</v>
      </c>
      <c r="D22" s="219">
        <f>'расчет цен и скидок'!D22</f>
        <v>0</v>
      </c>
      <c r="E22" s="219">
        <f>'расчет цен и скидок'!E22</f>
        <v>0</v>
      </c>
      <c r="F22" s="219">
        <f>'расчет цен и скидок'!F22</f>
        <v>0</v>
      </c>
      <c r="G22" s="219">
        <f>'расчет цен и скидок'!G22</f>
        <v>0</v>
      </c>
      <c r="H22" s="219">
        <f>'расчет цен и скидок'!H22</f>
        <v>0</v>
      </c>
      <c r="I22" s="219">
        <f>'расчет цен и скидок'!I22</f>
        <v>0</v>
      </c>
      <c r="J22" s="219">
        <f>'расчет цен и скидок'!J22</f>
        <v>0</v>
      </c>
      <c r="K22" s="220">
        <f>'расчет цен и скидок'!K22</f>
        <v>3200</v>
      </c>
      <c r="L22" s="220">
        <f>'расчет цен и скидок'!L22</f>
        <v>3776</v>
      </c>
      <c r="M22" s="220">
        <f>'расчет цен и скидок'!M22</f>
        <v>0</v>
      </c>
      <c r="N22" s="221">
        <f>'расчет цен и скидок'!N22</f>
        <v>3679.9999999999995</v>
      </c>
      <c r="O22" s="221">
        <f>'расчет цен и скидок'!O22</f>
        <v>4342.4</v>
      </c>
      <c r="P22" s="232">
        <f>'расчет цен и скидок'!P22</f>
        <v>3700</v>
      </c>
      <c r="Q22" s="233">
        <f>'расчет цен и скидок'!Q22</f>
        <v>666</v>
      </c>
      <c r="R22" s="234">
        <f>'расчет цен и скидок'!R22</f>
        <v>4366</v>
      </c>
      <c r="S22" s="223">
        <f>'расчет цен и скидок'!S22</f>
        <v>0.15</v>
      </c>
      <c r="T22" s="224">
        <f>'расчет цен и скидок'!T22</f>
        <v>0.15625</v>
      </c>
      <c r="U22" s="288">
        <f>'расчет цен и скидок'!U22</f>
        <v>0.03</v>
      </c>
      <c r="V22" s="289">
        <f>'расчет цен и скидок'!V22</f>
        <v>3589</v>
      </c>
      <c r="W22" s="289">
        <f>'расчет цен и скидок'!W22</f>
        <v>3589</v>
      </c>
      <c r="X22" s="289">
        <f>'расчет цен и скидок'!X22</f>
        <v>4235.0199999999995</v>
      </c>
      <c r="Y22" s="314">
        <f>'расчет цен и скидок'!Y22</f>
        <v>0</v>
      </c>
      <c r="Z22" s="311">
        <f>'расчет цен и скидок'!Z22</f>
        <v>0.08</v>
      </c>
      <c r="AA22" s="302">
        <f>'расчет цен и скидок'!AA22</f>
        <v>3404</v>
      </c>
      <c r="AB22" s="302">
        <f>'расчет цен и скидок'!AB22</f>
        <v>4016.72</v>
      </c>
      <c r="AC22" s="227">
        <f>'расчет цен и скидок'!AC22</f>
        <v>0</v>
      </c>
      <c r="AD22" s="228">
        <f>'расчет цен и скидок'!AD22</f>
        <v>0</v>
      </c>
      <c r="AE22" s="228">
        <f>'расчет цен и скидок'!AE22</f>
        <v>0</v>
      </c>
      <c r="AF22" s="228">
        <f>'расчет цен и скидок'!AF22</f>
        <v>0</v>
      </c>
      <c r="AG22" s="228">
        <f>'расчет цен и скидок'!AG22</f>
        <v>0</v>
      </c>
      <c r="AH22" s="228">
        <f>'расчет цен и скидок'!AH22</f>
        <v>0</v>
      </c>
      <c r="AI22" s="228">
        <f>'расчет цен и скидок'!AI22</f>
        <v>0</v>
      </c>
      <c r="AJ22" s="229" t="e">
        <f>'расчет цен и скидок'!AJ22</f>
        <v>#DIV/0!</v>
      </c>
      <c r="AK22" s="227">
        <f>'расчет цен и скидок'!AK22</f>
        <v>0</v>
      </c>
      <c r="AL22" s="228">
        <f>'расчет цен и скидок'!AL22</f>
        <v>0</v>
      </c>
      <c r="AM22" s="228">
        <f>'расчет цен и скидок'!AM22</f>
        <v>0</v>
      </c>
      <c r="AN22" s="228">
        <f>'расчет цен и скидок'!AN22</f>
        <v>0</v>
      </c>
      <c r="AO22" s="227">
        <f>'расчет цен и скидок'!AO22</f>
        <v>0</v>
      </c>
      <c r="AP22" s="228">
        <f>'расчет цен и скидок'!AP22</f>
        <v>0</v>
      </c>
      <c r="AQ22" s="228">
        <f>'расчет цен и скидок'!AQ22</f>
        <v>0</v>
      </c>
      <c r="AR22" s="228">
        <f>'расчет цен и скидок'!AR22</f>
        <v>0</v>
      </c>
      <c r="AS22" s="227">
        <f>'расчет цен и скидок'!AS22</f>
        <v>0</v>
      </c>
      <c r="AT22" s="228">
        <f>'расчет цен и скидок'!AT22</f>
        <v>6152.542372881357</v>
      </c>
      <c r="AU22" s="228">
        <f>'расчет цен и скидок'!AU22</f>
        <v>0</v>
      </c>
      <c r="AV22" s="228">
        <f>'расчет цен и скидок'!AV22</f>
        <v>0</v>
      </c>
      <c r="AW22" s="227">
        <f>'расчет цен и скидок'!AW22</f>
        <v>0</v>
      </c>
      <c r="AX22" s="228">
        <f>'расчет цен и скидок'!AX22</f>
        <v>0</v>
      </c>
      <c r="AY22" s="230">
        <f>'расчет цен и скидок'!AY22</f>
        <v>0</v>
      </c>
      <c r="AZ22" s="227">
        <f>'расчет цен и скидок'!AZ22</f>
        <v>0</v>
      </c>
      <c r="BA22" s="228">
        <f>'расчет цен и скидок'!BA22</f>
        <v>0</v>
      </c>
      <c r="BB22" s="230">
        <f>'расчет цен и скидок'!BB22</f>
        <v>0</v>
      </c>
      <c r="BC22" s="227">
        <f>'расчет цен и скидок'!BC22</f>
        <v>0</v>
      </c>
      <c r="BD22" s="230">
        <f>'расчет цен и скидок'!BD22</f>
        <v>0</v>
      </c>
      <c r="BE22" s="230">
        <f>'расчет цен и скидок'!BE22</f>
        <v>0</v>
      </c>
      <c r="BF22" s="218">
        <f>'расчет цен и скидок'!BF22</f>
        <v>0</v>
      </c>
      <c r="BG22" s="228">
        <f>'расчет цен и скидок'!BG22</f>
        <v>0</v>
      </c>
      <c r="BH22" s="230">
        <f>'расчет цен и скидок'!BH22</f>
        <v>0</v>
      </c>
      <c r="BI22" s="227">
        <f>'расчет цен и скидок'!BI22</f>
        <v>0</v>
      </c>
      <c r="BJ22" s="228">
        <f>'расчет цен и скидок'!BJ22</f>
        <v>0</v>
      </c>
      <c r="BK22" s="230">
        <f>'расчет цен и скидок'!BK22</f>
        <v>0</v>
      </c>
      <c r="BL22" s="230">
        <f>'расчет цен и скидок'!BL22</f>
        <v>0</v>
      </c>
      <c r="BM22" s="230">
        <f>'расчет цен и скидок'!BM22</f>
        <v>0</v>
      </c>
      <c r="BN22" s="230">
        <f>'расчет цен и скидок'!BN22</f>
        <v>0</v>
      </c>
      <c r="BO22" s="230">
        <f>'расчет цен и скидок'!BO22</f>
        <v>0</v>
      </c>
      <c r="BP22" s="230">
        <f>'расчет цен и скидок'!BP22</f>
        <v>0</v>
      </c>
      <c r="BQ22" s="230">
        <f>'расчет цен и скидок'!BQ22</f>
        <v>0</v>
      </c>
      <c r="BR22" s="230">
        <f>'расчет цен и скидок'!BR22</f>
        <v>0</v>
      </c>
      <c r="BS22" s="230">
        <f>'расчет цен и скидок'!BS22</f>
        <v>0</v>
      </c>
      <c r="BT22" s="230">
        <f>'расчет цен и скидок'!BT22</f>
        <v>0</v>
      </c>
      <c r="BU22" s="230">
        <f>'расчет цен и скидок'!BU22</f>
        <v>0</v>
      </c>
      <c r="BV22" s="230">
        <f>'расчет цен и скидок'!BV22</f>
        <v>0</v>
      </c>
      <c r="BW22" s="230">
        <f>'расчет цен и скидок'!BW22</f>
        <v>0</v>
      </c>
      <c r="BX22" s="230">
        <f>'расчет цен и скидок'!BX22</f>
        <v>0</v>
      </c>
      <c r="BY22" s="230">
        <f>'расчет цен и скидок'!BY22</f>
        <v>0</v>
      </c>
      <c r="BZ22" s="230">
        <f>'расчет цен и скидок'!BZ22</f>
        <v>0</v>
      </c>
      <c r="CA22" s="230">
        <f>'расчет цен и скидок'!CA22</f>
        <v>0</v>
      </c>
      <c r="CB22" s="230">
        <f>'расчет цен и скидок'!CB22</f>
        <v>0</v>
      </c>
      <c r="CC22" s="230">
        <f>'расчет цен и скидок'!CC22</f>
        <v>0</v>
      </c>
      <c r="CD22" s="230">
        <f>'расчет цен и скидок'!CD22</f>
        <v>0</v>
      </c>
      <c r="CE22" s="230">
        <f>'расчет цен и скидок'!CE22</f>
        <v>0</v>
      </c>
      <c r="CF22" s="230">
        <f>'расчет цен и скидок'!CF22</f>
        <v>0</v>
      </c>
      <c r="CG22" s="230">
        <f>'расчет цен и скидок'!CG22</f>
        <v>0</v>
      </c>
      <c r="CH22" s="230">
        <f>'расчет цен и скидок'!CH22</f>
        <v>0</v>
      </c>
      <c r="CI22" s="230">
        <f>'расчет цен и скидок'!CI22</f>
        <v>0</v>
      </c>
      <c r="CJ22" s="230">
        <f>'расчет цен и скидок'!CJ22</f>
        <v>0</v>
      </c>
      <c r="CK22" s="230">
        <f>'расчет цен и скидок'!CK22</f>
        <v>0</v>
      </c>
      <c r="CL22" s="230">
        <f>'расчет цен и скидок'!CL22</f>
        <v>0</v>
      </c>
      <c r="CM22" s="230">
        <f>'расчет цен и скидок'!CM22</f>
        <v>0</v>
      </c>
      <c r="CN22" s="230">
        <f>'расчет цен и скидок'!CN22</f>
        <v>0</v>
      </c>
    </row>
    <row r="23" spans="1:92" ht="15.75">
      <c r="A23" s="279" t="str">
        <f>'расчет цен и скидок'!A23</f>
        <v>МШ-28</v>
      </c>
      <c r="B23" s="308" t="str">
        <f>'расчет цен и скидок'!B23</f>
        <v>с учетом стоимости МКР (с вкладышем)</v>
      </c>
      <c r="C23" s="219">
        <f>'расчет цен и скидок'!C23</f>
        <v>0</v>
      </c>
      <c r="D23" s="219">
        <f>'расчет цен и скидок'!D23</f>
        <v>0</v>
      </c>
      <c r="E23" s="219">
        <f>'расчет цен и скидок'!E23</f>
        <v>0</v>
      </c>
      <c r="F23" s="219">
        <f>'расчет цен и скидок'!F23</f>
        <v>0</v>
      </c>
      <c r="G23" s="219">
        <f>'расчет цен и скидок'!G23</f>
        <v>0</v>
      </c>
      <c r="H23" s="219">
        <f>'расчет цен и скидок'!H23</f>
        <v>0</v>
      </c>
      <c r="I23" s="219">
        <f>'расчет цен и скидок'!I23</f>
        <v>0</v>
      </c>
      <c r="J23" s="219">
        <f>'расчет цен и скидок'!J23</f>
        <v>0</v>
      </c>
      <c r="K23" s="220">
        <f>'расчет цен и скидок'!K23</f>
        <v>3435</v>
      </c>
      <c r="L23" s="220">
        <f>'расчет цен и скидок'!L23</f>
        <v>4053.3</v>
      </c>
      <c r="M23" s="220">
        <f>'расчет цен и скидок'!M23</f>
        <v>0</v>
      </c>
      <c r="N23" s="221">
        <f>'расчет цен и скидок'!N23</f>
        <v>3950.2499999999995</v>
      </c>
      <c r="O23" s="221">
        <f>'расчет цен и скидок'!O23</f>
        <v>4661.294999999999</v>
      </c>
      <c r="P23" s="235">
        <f>'расчет цен и скидок'!P23</f>
        <v>3900</v>
      </c>
      <c r="Q23" s="236">
        <f>'расчет цен и скидок'!Q23</f>
        <v>702</v>
      </c>
      <c r="R23" s="236">
        <f>'расчет цен и скидок'!R23</f>
        <v>4602</v>
      </c>
      <c r="S23" s="223">
        <f>'расчет цен и скидок'!S23</f>
        <v>0.15</v>
      </c>
      <c r="T23" s="224">
        <f>'расчет цен и скидок'!T23</f>
        <v>0.13537117903930126</v>
      </c>
      <c r="U23" s="291">
        <f>'расчет цен и скидок'!U23</f>
        <v>0.03</v>
      </c>
      <c r="V23" s="292">
        <f>'расчет цен и скидок'!V23</f>
        <v>3789</v>
      </c>
      <c r="W23" s="292">
        <f>'расчет цен и скидок'!W23</f>
        <v>3789</v>
      </c>
      <c r="X23" s="292">
        <f>'расчет цен и скидок'!X23</f>
        <v>4471.0199999999995</v>
      </c>
      <c r="Y23" s="314">
        <f>'расчет цен и скидок'!Y23</f>
        <v>0</v>
      </c>
      <c r="Z23" s="311">
        <f>'расчет цен и скидок'!Z23</f>
        <v>0.08</v>
      </c>
      <c r="AA23" s="302">
        <f>'расчет цен и скидок'!AA23</f>
        <v>3604</v>
      </c>
      <c r="AB23" s="302">
        <f>'расчет цен и скидок'!AB23</f>
        <v>4252.719999999999</v>
      </c>
      <c r="AC23" s="227">
        <f>'расчет цен и скидок'!AC23</f>
        <v>0</v>
      </c>
      <c r="AD23" s="228">
        <f>'расчет цен и скидок'!AD23</f>
        <v>0</v>
      </c>
      <c r="AE23" s="228">
        <f>'расчет цен и скидок'!AE23</f>
        <v>0</v>
      </c>
      <c r="AF23" s="228">
        <f>'расчет цен и скидок'!AF23</f>
        <v>0</v>
      </c>
      <c r="AG23" s="228">
        <f>'расчет цен и скидок'!AG23</f>
        <v>0</v>
      </c>
      <c r="AH23" s="228">
        <f>'расчет цен и скидок'!AH23</f>
        <v>0</v>
      </c>
      <c r="AI23" s="228">
        <f>'расчет цен и скидок'!AI23</f>
        <v>0</v>
      </c>
      <c r="AJ23" s="229">
        <f>'расчет цен и скидок'!AJ23</f>
        <v>0</v>
      </c>
      <c r="AK23" s="227">
        <f>'расчет цен и скидок'!AK23</f>
        <v>0</v>
      </c>
      <c r="AL23" s="228">
        <f>'расчет цен и скидок'!AL23</f>
        <v>0</v>
      </c>
      <c r="AM23" s="228">
        <f>'расчет цен и скидок'!AM23</f>
        <v>0</v>
      </c>
      <c r="AN23" s="228">
        <f>'расчет цен и скидок'!AN23</f>
        <v>0</v>
      </c>
      <c r="AO23" s="227">
        <f>'расчет цен и скидок'!AO23</f>
        <v>0</v>
      </c>
      <c r="AP23" s="228">
        <f>'расчет цен и скидок'!AP23</f>
        <v>0</v>
      </c>
      <c r="AQ23" s="228">
        <f>'расчет цен и скидок'!AQ23</f>
        <v>0</v>
      </c>
      <c r="AR23" s="228">
        <f>'расчет цен и скидок'!AR23</f>
        <v>0</v>
      </c>
      <c r="AS23" s="227">
        <f>'расчет цен и скидок'!AS23</f>
        <v>0</v>
      </c>
      <c r="AT23" s="228">
        <f>'расчет цен и скидок'!AT23</f>
        <v>0</v>
      </c>
      <c r="AU23" s="228">
        <f>'расчет цен и скидок'!AU23</f>
        <v>0</v>
      </c>
      <c r="AV23" s="228">
        <f>'расчет цен и скидок'!AV23</f>
        <v>0</v>
      </c>
      <c r="AW23" s="227">
        <f>'расчет цен и скидок'!AW23</f>
        <v>0</v>
      </c>
      <c r="AX23" s="228">
        <f>'расчет цен и скидок'!AX23</f>
        <v>0</v>
      </c>
      <c r="AY23" s="230">
        <f>'расчет цен и скидок'!AY23</f>
        <v>0</v>
      </c>
      <c r="AZ23" s="227">
        <f>'расчет цен и скидок'!AZ23</f>
        <v>0</v>
      </c>
      <c r="BA23" s="228">
        <f>'расчет цен и скидок'!BA23</f>
        <v>0</v>
      </c>
      <c r="BB23" s="230">
        <f>'расчет цен и скидок'!BB23</f>
        <v>0</v>
      </c>
      <c r="BC23" s="227">
        <f>'расчет цен и скидок'!BC23</f>
        <v>0</v>
      </c>
      <c r="BD23" s="230">
        <f>'расчет цен и скидок'!BD23</f>
        <v>0</v>
      </c>
      <c r="BE23" s="230">
        <f>'расчет цен и скидок'!BE23</f>
        <v>0</v>
      </c>
      <c r="BF23" s="218">
        <f>'расчет цен и скидок'!BF23</f>
        <v>0</v>
      </c>
      <c r="BG23" s="228">
        <f>'расчет цен и скидок'!BG23</f>
        <v>0</v>
      </c>
      <c r="BH23" s="230">
        <f>'расчет цен и скидок'!BH23</f>
        <v>0</v>
      </c>
      <c r="BI23" s="227">
        <f>'расчет цен и скидок'!BI23</f>
        <v>0</v>
      </c>
      <c r="BJ23" s="228">
        <f>'расчет цен и скидок'!BJ23</f>
        <v>0</v>
      </c>
      <c r="BK23" s="230">
        <f>'расчет цен и скидок'!BK23</f>
        <v>0</v>
      </c>
      <c r="BL23" s="230">
        <f>'расчет цен и скидок'!BL23</f>
        <v>0</v>
      </c>
      <c r="BM23" s="230">
        <f>'расчет цен и скидок'!BM23</f>
        <v>0</v>
      </c>
      <c r="BN23" s="230">
        <f>'расчет цен и скидок'!BN23</f>
        <v>0</v>
      </c>
      <c r="BO23" s="230">
        <f>'расчет цен и скидок'!BO23</f>
        <v>0</v>
      </c>
      <c r="BP23" s="230">
        <f>'расчет цен и скидок'!BP23</f>
        <v>0</v>
      </c>
      <c r="BQ23" s="230">
        <f>'расчет цен и скидок'!BQ23</f>
        <v>0</v>
      </c>
      <c r="BR23" s="230">
        <f>'расчет цен и скидок'!BR23</f>
        <v>0</v>
      </c>
      <c r="BS23" s="230">
        <f>'расчет цен и скидок'!BS23</f>
        <v>0</v>
      </c>
      <c r="BT23" s="230">
        <f>'расчет цен и скидок'!BT23</f>
        <v>0</v>
      </c>
      <c r="BU23" s="230">
        <f>'расчет цен и скидок'!BU23</f>
        <v>0</v>
      </c>
      <c r="BV23" s="230">
        <f>'расчет цен и скидок'!BV23</f>
        <v>0</v>
      </c>
      <c r="BW23" s="230">
        <f>'расчет цен и скидок'!BW23</f>
        <v>0</v>
      </c>
      <c r="BX23" s="230">
        <f>'расчет цен и скидок'!BX23</f>
        <v>0</v>
      </c>
      <c r="BY23" s="230">
        <f>'расчет цен и скидок'!BY23</f>
        <v>0</v>
      </c>
      <c r="BZ23" s="230">
        <f>'расчет цен и скидок'!BZ23</f>
        <v>0</v>
      </c>
      <c r="CA23" s="230">
        <f>'расчет цен и скидок'!CA23</f>
        <v>0</v>
      </c>
      <c r="CB23" s="230">
        <f>'расчет цен и скидок'!CB23</f>
        <v>0</v>
      </c>
      <c r="CC23" s="230">
        <f>'расчет цен и скидок'!CC23</f>
        <v>0</v>
      </c>
      <c r="CD23" s="230">
        <f>'расчет цен и скидок'!CD23</f>
        <v>0</v>
      </c>
      <c r="CE23" s="230">
        <f>'расчет цен и скидок'!CE23</f>
        <v>0</v>
      </c>
      <c r="CF23" s="230">
        <f>'расчет цен и скидок'!CF23</f>
        <v>0</v>
      </c>
      <c r="CG23" s="230">
        <f>'расчет цен и скидок'!CG23</f>
        <v>0</v>
      </c>
      <c r="CH23" s="230">
        <f>'расчет цен и скидок'!CH23</f>
        <v>0</v>
      </c>
      <c r="CI23" s="230">
        <f>'расчет цен и скидок'!CI23</f>
        <v>0</v>
      </c>
      <c r="CJ23" s="230">
        <f>'расчет цен и скидок'!CJ23</f>
        <v>0</v>
      </c>
      <c r="CK23" s="230">
        <f>'расчет цен и скидок'!CK23</f>
        <v>0</v>
      </c>
      <c r="CL23" s="230">
        <f>'расчет цен и скидок'!CL23</f>
        <v>0</v>
      </c>
      <c r="CM23" s="230">
        <f>'расчет цен и скидок'!CM23</f>
        <v>0</v>
      </c>
      <c r="CN23" s="230">
        <f>'расчет цен и скидок'!CN23</f>
        <v>0</v>
      </c>
    </row>
    <row r="24" spans="1:92" s="217" customFormat="1" ht="15.75">
      <c r="A24" s="279" t="str">
        <f>'расчет цен и скидок'!A24</f>
        <v>МШ-28</v>
      </c>
      <c r="B24" s="308" t="str">
        <f>'расчет цен и скидок'!B24</f>
        <v>вагонные поставки</v>
      </c>
      <c r="C24" s="219">
        <f>'расчет цен и скидок'!C24</f>
        <v>0</v>
      </c>
      <c r="D24" s="219">
        <f>'расчет цен и скидок'!D24</f>
        <v>0</v>
      </c>
      <c r="E24" s="219">
        <f>'расчет цен и скидок'!E24</f>
        <v>0</v>
      </c>
      <c r="F24" s="219">
        <f>'расчет цен и скидок'!F24</f>
        <v>0</v>
      </c>
      <c r="G24" s="219">
        <f>'расчет цен и скидок'!G24</f>
        <v>0</v>
      </c>
      <c r="H24" s="219">
        <f>'расчет цен и скидок'!H24</f>
        <v>0</v>
      </c>
      <c r="I24" s="219">
        <f>'расчет цен и скидок'!I24</f>
        <v>0</v>
      </c>
      <c r="J24" s="219">
        <f>'расчет цен и скидок'!J24</f>
        <v>0</v>
      </c>
      <c r="K24" s="231">
        <f>'расчет цен и скидок'!K24</f>
        <v>0</v>
      </c>
      <c r="L24" s="231">
        <f>'расчет цен и скидок'!L24</f>
        <v>0</v>
      </c>
      <c r="M24" s="231">
        <f>'расчет цен и скидок'!M24</f>
        <v>0</v>
      </c>
      <c r="N24" s="221">
        <f>'расчет цен и скидок'!N24</f>
        <v>0</v>
      </c>
      <c r="O24" s="221">
        <f>'расчет цен и скидок'!O24</f>
        <v>0</v>
      </c>
      <c r="P24" s="232">
        <f>'расчет цен и скидок'!P24</f>
        <v>0</v>
      </c>
      <c r="Q24" s="233">
        <f>'расчет цен и скидок'!Q24</f>
        <v>0</v>
      </c>
      <c r="R24" s="234">
        <f>'расчет цен и скидок'!R24</f>
        <v>0</v>
      </c>
      <c r="S24" s="223">
        <f>'расчет цен и скидок'!S24</f>
        <v>0</v>
      </c>
      <c r="T24" s="224">
        <f>'расчет цен и скидок'!T24</f>
        <v>0</v>
      </c>
      <c r="U24" s="250"/>
      <c r="V24" s="221">
        <f>'расчет цен и скидок'!V24</f>
        <v>0</v>
      </c>
      <c r="W24" s="221">
        <f>'расчет цен и скидок'!W24</f>
        <v>0</v>
      </c>
      <c r="X24" s="221">
        <f>'расчет цен и скидок'!X24</f>
        <v>0</v>
      </c>
      <c r="Y24" s="225">
        <f>'расчет цен и скидок'!Y24</f>
        <v>0</v>
      </c>
      <c r="Z24" s="311">
        <f>'расчет цен и скидок'!Z24</f>
        <v>0.08</v>
      </c>
      <c r="AA24" s="302">
        <f>'расчет цен и скидок'!AA24</f>
        <v>0</v>
      </c>
      <c r="AB24" s="302">
        <f>'расчет цен и скидок'!AB24</f>
        <v>0</v>
      </c>
      <c r="AC24" s="227">
        <f>'расчет цен и скидок'!AC24</f>
        <v>0</v>
      </c>
      <c r="AD24" s="239">
        <f>'расчет цен и скидок'!AD24</f>
        <v>2222</v>
      </c>
      <c r="AE24" s="239">
        <f>'расчет цен и скидок'!AE24</f>
        <v>0</v>
      </c>
      <c r="AF24" s="239">
        <f>'расчет цен и скидок'!AF24</f>
        <v>0</v>
      </c>
      <c r="AG24" s="239">
        <f>'расчет цен и скидок'!AG24</f>
        <v>0</v>
      </c>
      <c r="AH24" s="239">
        <f>'расчет цен и скидок'!AH24</f>
        <v>2560</v>
      </c>
      <c r="AI24" s="239">
        <f>'расчет цен и скидок'!AI24</f>
        <v>0</v>
      </c>
      <c r="AJ24" s="229">
        <f>'расчет цен и скидок'!AJ24</f>
        <v>0.15211521152115212</v>
      </c>
      <c r="AK24" s="227">
        <f>'расчет цен и скидок'!AK24</f>
        <v>0</v>
      </c>
      <c r="AL24" s="239">
        <f>'расчет цен и скидок'!AL24</f>
        <v>2900</v>
      </c>
      <c r="AM24" s="239">
        <f>'расчет цен и скидок'!AM24</f>
        <v>3335</v>
      </c>
      <c r="AN24" s="242">
        <f>'расчет цен и скидок'!AN24</f>
        <v>0.15</v>
      </c>
      <c r="AO24" s="227">
        <f>'расчет цен и скидок'!AO24</f>
        <v>0</v>
      </c>
      <c r="AP24" s="239">
        <f>'расчет цен и скидок'!AP24</f>
        <v>3250</v>
      </c>
      <c r="AQ24" s="239">
        <f>'расчет цен и скидок'!AQ24</f>
        <v>0</v>
      </c>
      <c r="AR24" s="242">
        <f>'расчет цен и скидок'!AR24</f>
        <v>-1</v>
      </c>
      <c r="AS24" s="227">
        <f>'расчет цен и скидок'!AS24</f>
        <v>0</v>
      </c>
      <c r="AT24" s="239">
        <f>'расчет цен и скидок'!AT24</f>
        <v>4288.13559322034</v>
      </c>
      <c r="AU24" s="239">
        <f>'расчет цен и скидок'!AU24</f>
        <v>0</v>
      </c>
      <c r="AV24" s="242">
        <f>'расчет цен и скидок'!AV24</f>
        <v>-1</v>
      </c>
      <c r="AW24" s="227">
        <f>'расчет цен и скидок'!AW24</f>
        <v>0</v>
      </c>
      <c r="AX24" s="239">
        <f>'расчет цен и скидок'!AX24</f>
        <v>3050</v>
      </c>
      <c r="AY24" s="217">
        <f>'расчет цен и скидок'!AY24</f>
        <v>0</v>
      </c>
      <c r="AZ24" s="227">
        <f>'расчет цен и скидок'!AZ24</f>
        <v>0</v>
      </c>
      <c r="BA24" s="239">
        <f>'расчет цен и скидок'!BA24</f>
        <v>0</v>
      </c>
      <c r="BB24" s="217">
        <f>'расчет цен и скидок'!BB24</f>
        <v>0</v>
      </c>
      <c r="BC24" s="227">
        <f>'расчет цен и скидок'!BC24</f>
        <v>0</v>
      </c>
      <c r="BD24" s="217">
        <f>'расчет цен и скидок'!BD24</f>
        <v>0</v>
      </c>
      <c r="BE24" s="217">
        <f>'расчет цен и скидок'!BE24</f>
        <v>0</v>
      </c>
      <c r="BF24" s="218">
        <f>'расчет цен и скидок'!BF24</f>
        <v>0</v>
      </c>
      <c r="BG24" s="239">
        <f>'расчет цен и скидок'!BG24</f>
        <v>0</v>
      </c>
      <c r="BH24" s="217">
        <f>'расчет цен и скидок'!BH24</f>
        <v>0</v>
      </c>
      <c r="BI24" s="227">
        <f>'расчет цен и скидок'!BI24</f>
        <v>0</v>
      </c>
      <c r="BJ24" s="239">
        <f>'расчет цен и скидок'!BJ24</f>
        <v>0</v>
      </c>
      <c r="BK24" s="217">
        <f>'расчет цен и скидок'!BK24</f>
        <v>0</v>
      </c>
      <c r="BL24" s="217">
        <f>'расчет цен и скидок'!BL24</f>
        <v>0</v>
      </c>
      <c r="BM24" s="217">
        <f>'расчет цен и скидок'!BM24</f>
        <v>0</v>
      </c>
      <c r="BN24" s="217">
        <f>'расчет цен и скидок'!BN24</f>
        <v>0</v>
      </c>
      <c r="BO24" s="217">
        <f>'расчет цен и скидок'!BO24</f>
        <v>0</v>
      </c>
      <c r="BP24" s="217">
        <f>'расчет цен и скидок'!BP24</f>
        <v>0</v>
      </c>
      <c r="BQ24" s="217">
        <f>'расчет цен и скидок'!BQ24</f>
        <v>0</v>
      </c>
      <c r="BR24" s="217">
        <f>'расчет цен и скидок'!BR24</f>
        <v>0</v>
      </c>
      <c r="BS24" s="217">
        <f>'расчет цен и скидок'!BS24</f>
        <v>0</v>
      </c>
      <c r="BT24" s="217">
        <f>'расчет цен и скидок'!BT24</f>
        <v>0</v>
      </c>
      <c r="BU24" s="217">
        <f>'расчет цен и скидок'!BU24</f>
        <v>0</v>
      </c>
      <c r="BV24" s="217">
        <f>'расчет цен и скидок'!BV24</f>
        <v>0</v>
      </c>
      <c r="BW24" s="217">
        <f>'расчет цен и скидок'!BW24</f>
        <v>0</v>
      </c>
      <c r="BX24" s="217">
        <f>'расчет цен и скидок'!BX24</f>
        <v>0</v>
      </c>
      <c r="BY24" s="217">
        <f>'расчет цен и скидок'!BY24</f>
        <v>0</v>
      </c>
      <c r="BZ24" s="217">
        <f>'расчет цен и скидок'!BZ24</f>
        <v>0</v>
      </c>
      <c r="CA24" s="217">
        <f>'расчет цен и скидок'!CA24</f>
        <v>0</v>
      </c>
      <c r="CB24" s="217">
        <f>'расчет цен и скидок'!CB24</f>
        <v>0</v>
      </c>
      <c r="CC24" s="217">
        <f>'расчет цен и скидок'!CC24</f>
        <v>0</v>
      </c>
      <c r="CD24" s="217">
        <f>'расчет цен и скидок'!CD24</f>
        <v>0</v>
      </c>
      <c r="CE24" s="217">
        <f>'расчет цен и скидок'!CE24</f>
        <v>0</v>
      </c>
      <c r="CF24" s="217">
        <f>'расчет цен и скидок'!CF24</f>
        <v>0</v>
      </c>
      <c r="CG24" s="217">
        <f>'расчет цен и скидок'!CG24</f>
        <v>0</v>
      </c>
      <c r="CH24" s="217">
        <f>'расчет цен и скидок'!CH24</f>
        <v>0</v>
      </c>
      <c r="CI24" s="217">
        <f>'расчет цен и скидок'!CI24</f>
        <v>0</v>
      </c>
      <c r="CJ24" s="217">
        <f>'расчет цен и скидок'!CJ24</f>
        <v>0</v>
      </c>
      <c r="CK24" s="217">
        <f>'расчет цен и скидок'!CK24</f>
        <v>0</v>
      </c>
      <c r="CL24" s="217">
        <f>'расчет цен и скидок'!CL24</f>
        <v>0</v>
      </c>
      <c r="CM24" s="217">
        <f>'расчет цен и скидок'!CM24</f>
        <v>0</v>
      </c>
      <c r="CN24" s="217">
        <f>'расчет цен и скидок'!CN24</f>
        <v>0</v>
      </c>
    </row>
    <row r="25" spans="1:92" s="217" customFormat="1" ht="15.75">
      <c r="A25" s="279"/>
      <c r="B25" s="308"/>
      <c r="C25" s="219">
        <f>'расчет цен и скидок'!C25</f>
        <v>0</v>
      </c>
      <c r="D25" s="219">
        <f>'расчет цен и скидок'!D25</f>
        <v>0</v>
      </c>
      <c r="E25" s="219">
        <f>'расчет цен и скидок'!E25</f>
        <v>0</v>
      </c>
      <c r="F25" s="219">
        <f>'расчет цен и скидок'!F25</f>
        <v>0</v>
      </c>
      <c r="G25" s="219">
        <f>'расчет цен и скидок'!G25</f>
        <v>0</v>
      </c>
      <c r="H25" s="219">
        <f>'расчет цен и скидок'!H25</f>
        <v>0</v>
      </c>
      <c r="I25" s="219">
        <f>'расчет цен и скидок'!I25</f>
        <v>0</v>
      </c>
      <c r="J25" s="219">
        <f>'расчет цен и скидок'!J25</f>
        <v>0</v>
      </c>
      <c r="K25" s="231">
        <f>'расчет цен и скидок'!K25</f>
        <v>0</v>
      </c>
      <c r="L25" s="231">
        <f>'расчет цен и скидок'!L25</f>
        <v>0</v>
      </c>
      <c r="M25" s="231">
        <f>'расчет цен и скидок'!M25</f>
        <v>0</v>
      </c>
      <c r="N25" s="221">
        <f>'расчет цен и скидок'!N25</f>
        <v>0</v>
      </c>
      <c r="O25" s="221">
        <f>'расчет цен и скидок'!O25</f>
        <v>0</v>
      </c>
      <c r="P25" s="232"/>
      <c r="Q25" s="233"/>
      <c r="R25" s="234"/>
      <c r="S25" s="223">
        <f>'расчет цен и скидок'!S25</f>
        <v>0</v>
      </c>
      <c r="T25" s="224">
        <f>'расчет цен и скидок'!T25</f>
        <v>0</v>
      </c>
      <c r="U25" s="250"/>
      <c r="V25" s="221">
        <f>'расчет цен и скидок'!V25</f>
        <v>0</v>
      </c>
      <c r="W25" s="221">
        <f>'расчет цен и скидок'!W25</f>
        <v>0</v>
      </c>
      <c r="X25" s="221"/>
      <c r="Y25" s="225">
        <f>'расчет цен и скидок'!Y25</f>
        <v>0</v>
      </c>
      <c r="Z25" s="311"/>
      <c r="AA25" s="302"/>
      <c r="AB25" s="302"/>
      <c r="AC25" s="227">
        <f>'расчет цен и скидок'!AC25</f>
        <v>0</v>
      </c>
      <c r="AD25" s="239">
        <f>'расчет цен и скидок'!AD25</f>
        <v>0</v>
      </c>
      <c r="AE25" s="239">
        <f>'расчет цен и скидок'!AE25</f>
        <v>0</v>
      </c>
      <c r="AF25" s="239">
        <f>'расчет цен и скидок'!AF25</f>
        <v>0</v>
      </c>
      <c r="AG25" s="239">
        <f>'расчет цен и скидок'!AG25</f>
        <v>0</v>
      </c>
      <c r="AH25" s="239">
        <f>'расчет цен и скидок'!AH25</f>
        <v>0</v>
      </c>
      <c r="AI25" s="239">
        <f>'расчет цен и скидок'!AI25</f>
        <v>0</v>
      </c>
      <c r="AJ25" s="229" t="e">
        <f>'расчет цен и скидок'!AJ25</f>
        <v>#DIV/0!</v>
      </c>
      <c r="AK25" s="227">
        <f>'расчет цен и скидок'!AK25</f>
        <v>0</v>
      </c>
      <c r="AL25" s="239">
        <f>'расчет цен и скидок'!AL25</f>
        <v>0</v>
      </c>
      <c r="AM25" s="239">
        <f>'расчет цен и скидок'!AM25</f>
        <v>0</v>
      </c>
      <c r="AN25" s="239">
        <f>'расчет цен и скидок'!AN25</f>
        <v>0</v>
      </c>
      <c r="AO25" s="227">
        <f>'расчет цен и скидок'!AO25</f>
        <v>0</v>
      </c>
      <c r="AP25" s="239">
        <f>'расчет цен и скидок'!AP25</f>
        <v>0</v>
      </c>
      <c r="AQ25" s="239">
        <f>'расчет цен и скидок'!AQ25</f>
        <v>0</v>
      </c>
      <c r="AR25" s="239">
        <f>'расчет цен и скидок'!AR25</f>
        <v>0</v>
      </c>
      <c r="AS25" s="227">
        <f>'расчет цен и скидок'!AS25</f>
        <v>0</v>
      </c>
      <c r="AT25" s="239">
        <f>'расчет цен и скидок'!AT25</f>
        <v>0</v>
      </c>
      <c r="AU25" s="239">
        <f>'расчет цен и скидок'!AU25</f>
        <v>0</v>
      </c>
      <c r="AV25" s="239">
        <f>'расчет цен и скидок'!AV25</f>
        <v>0</v>
      </c>
      <c r="AW25" s="227">
        <f>'расчет цен и скидок'!AW25</f>
        <v>0</v>
      </c>
      <c r="AX25" s="239">
        <f>'расчет цен и скидок'!AX25</f>
        <v>0</v>
      </c>
      <c r="AY25" s="217">
        <f>'расчет цен и скидок'!AY25</f>
        <v>0</v>
      </c>
      <c r="AZ25" s="227">
        <f>'расчет цен и скидок'!AZ25</f>
        <v>0</v>
      </c>
      <c r="BA25" s="239">
        <f>'расчет цен и скидок'!BA25</f>
        <v>0</v>
      </c>
      <c r="BB25" s="217">
        <f>'расчет цен и скидок'!BB25</f>
        <v>0</v>
      </c>
      <c r="BC25" s="227">
        <f>'расчет цен и скидок'!BC25</f>
        <v>0</v>
      </c>
      <c r="BD25" s="217">
        <f>'расчет цен и скидок'!BD25</f>
        <v>0</v>
      </c>
      <c r="BE25" s="217">
        <f>'расчет цен и скидок'!BE25</f>
        <v>0</v>
      </c>
      <c r="BF25" s="218">
        <f>'расчет цен и скидок'!BF25</f>
        <v>0</v>
      </c>
      <c r="BG25" s="239">
        <f>'расчет цен и скидок'!BG25</f>
        <v>0</v>
      </c>
      <c r="BH25" s="217">
        <f>'расчет цен и скидок'!BH25</f>
        <v>0</v>
      </c>
      <c r="BI25" s="227">
        <f>'расчет цен и скидок'!BI25</f>
        <v>0</v>
      </c>
      <c r="BJ25" s="239">
        <f>'расчет цен и скидок'!BJ25</f>
        <v>0</v>
      </c>
      <c r="BK25" s="217">
        <f>'расчет цен и скидок'!BK25</f>
        <v>0</v>
      </c>
      <c r="BL25" s="217">
        <f>'расчет цен и скидок'!BL25</f>
        <v>0</v>
      </c>
      <c r="BM25" s="217">
        <f>'расчет цен и скидок'!BM25</f>
        <v>0</v>
      </c>
      <c r="BN25" s="217">
        <f>'расчет цен и скидок'!BN25</f>
        <v>0</v>
      </c>
      <c r="BO25" s="217">
        <f>'расчет цен и скидок'!BO25</f>
        <v>0</v>
      </c>
      <c r="BP25" s="217">
        <f>'расчет цен и скидок'!BP25</f>
        <v>0</v>
      </c>
      <c r="BQ25" s="217">
        <f>'расчет цен и скидок'!BQ25</f>
        <v>0</v>
      </c>
      <c r="BR25" s="217">
        <f>'расчет цен и скидок'!BR25</f>
        <v>0</v>
      </c>
      <c r="BS25" s="217">
        <f>'расчет цен и скидок'!BS25</f>
        <v>0</v>
      </c>
      <c r="BT25" s="217">
        <f>'расчет цен и скидок'!BT25</f>
        <v>0</v>
      </c>
      <c r="BU25" s="217">
        <f>'расчет цен и скидок'!BU25</f>
        <v>0</v>
      </c>
      <c r="BV25" s="217">
        <f>'расчет цен и скидок'!BV25</f>
        <v>0</v>
      </c>
      <c r="BW25" s="217">
        <f>'расчет цен и скидок'!BW25</f>
        <v>0</v>
      </c>
      <c r="BX25" s="217">
        <f>'расчет цен и скидок'!BX25</f>
        <v>0</v>
      </c>
      <c r="BY25" s="217">
        <f>'расчет цен и скидок'!BY25</f>
        <v>0</v>
      </c>
      <c r="BZ25" s="217">
        <f>'расчет цен и скидок'!BZ25</f>
        <v>0</v>
      </c>
      <c r="CA25" s="217">
        <f>'расчет цен и скидок'!CA25</f>
        <v>0</v>
      </c>
      <c r="CB25" s="217">
        <f>'расчет цен и скидок'!CB25</f>
        <v>0</v>
      </c>
      <c r="CC25" s="217">
        <f>'расчет цен и скидок'!CC25</f>
        <v>0</v>
      </c>
      <c r="CD25" s="217">
        <f>'расчет цен и скидок'!CD25</f>
        <v>0</v>
      </c>
      <c r="CE25" s="217">
        <f>'расчет цен и скидок'!CE25</f>
        <v>0</v>
      </c>
      <c r="CF25" s="217">
        <f>'расчет цен и скидок'!CF25</f>
        <v>0</v>
      </c>
      <c r="CG25" s="217">
        <f>'расчет цен и скидок'!CG25</f>
        <v>0</v>
      </c>
      <c r="CH25" s="217">
        <f>'расчет цен и скидок'!CH25</f>
        <v>0</v>
      </c>
      <c r="CI25" s="217">
        <f>'расчет цен и скидок'!CI25</f>
        <v>0</v>
      </c>
      <c r="CJ25" s="217">
        <f>'расчет цен и скидок'!CJ25</f>
        <v>0</v>
      </c>
      <c r="CK25" s="217">
        <f>'расчет цен и скидок'!CK25</f>
        <v>0</v>
      </c>
      <c r="CL25" s="217">
        <f>'расчет цен и скидок'!CL25</f>
        <v>0</v>
      </c>
      <c r="CM25" s="217">
        <f>'расчет цен и скидок'!CM25</f>
        <v>0</v>
      </c>
      <c r="CN25" s="217">
        <f>'расчет цен и скидок'!CN25</f>
        <v>0</v>
      </c>
    </row>
    <row r="26" spans="1:92" ht="15.75">
      <c r="A26" s="279" t="str">
        <f>'расчет цен и скидок'!A26</f>
        <v>ПШБМ 1-3</v>
      </c>
      <c r="B26" s="308" t="str">
        <f>'расчет цен и скидок'!B26</f>
        <v>вагонные поставки</v>
      </c>
      <c r="C26" s="219">
        <f>'расчет цен и скидок'!C26</f>
        <v>0</v>
      </c>
      <c r="D26" s="219">
        <f>'расчет цен и скидок'!D26</f>
        <v>0</v>
      </c>
      <c r="E26" s="219">
        <f>'расчет цен и скидок'!E26</f>
        <v>0</v>
      </c>
      <c r="F26" s="219">
        <f>'расчет цен и скидок'!F26</f>
        <v>0</v>
      </c>
      <c r="G26" s="219">
        <f>'расчет цен и скидок'!G26</f>
        <v>0</v>
      </c>
      <c r="H26" s="219">
        <f>'расчет цен и скидок'!H26</f>
        <v>0</v>
      </c>
      <c r="I26" s="219">
        <f>'расчет цен и скидок'!I26</f>
        <v>0</v>
      </c>
      <c r="J26" s="219">
        <f>'расчет цен и скидок'!J26</f>
        <v>0</v>
      </c>
      <c r="K26" s="221">
        <f>'расчет цен и скидок'!K26</f>
        <v>3150</v>
      </c>
      <c r="L26" s="221">
        <f>'расчет цен и скидок'!L26</f>
        <v>3717</v>
      </c>
      <c r="M26" s="221">
        <f>'расчет цен и скидок'!M26</f>
        <v>0</v>
      </c>
      <c r="N26" s="221" t="str">
        <f>'расчет цен и скидок'!N26</f>
        <v>х</v>
      </c>
      <c r="O26" s="221" t="str">
        <f>'расчет цен и скидок'!O26</f>
        <v>х</v>
      </c>
      <c r="P26" s="232" t="str">
        <f>'расчет цен и скидок'!P26</f>
        <v>х</v>
      </c>
      <c r="Q26" s="233" t="str">
        <f>'расчет цен и скидок'!Q26</f>
        <v>х</v>
      </c>
      <c r="R26" s="234" t="str">
        <f>'расчет цен и скидок'!R26</f>
        <v>х</v>
      </c>
      <c r="S26" s="223" t="str">
        <f>'расчет цен и скидок'!S26</f>
        <v>x</v>
      </c>
      <c r="T26" s="224" t="str">
        <f>'расчет цен и скидок'!T26</f>
        <v>x</v>
      </c>
      <c r="U26" s="250"/>
      <c r="Z26" s="311"/>
      <c r="AA26" s="302" t="e">
        <f>'расчет цен и скидок'!AA26</f>
        <v>#VALUE!</v>
      </c>
      <c r="AB26" s="302" t="e">
        <f>'расчет цен и скидок'!AB26</f>
        <v>#VALUE!</v>
      </c>
      <c r="AC26" s="227">
        <f>'расчет цен и скидок'!AC26</f>
        <v>0</v>
      </c>
      <c r="AD26" s="228">
        <f>'расчет цен и скидок'!AD26</f>
        <v>0</v>
      </c>
      <c r="AE26" s="228">
        <f>'расчет цен и скидок'!AE26</f>
        <v>0</v>
      </c>
      <c r="AF26" s="228">
        <f>'расчет цен и скидок'!AF26</f>
        <v>0</v>
      </c>
      <c r="AG26" s="228">
        <f>'расчет цен и скидок'!AG26</f>
        <v>0</v>
      </c>
      <c r="AH26" s="228">
        <f>'расчет цен и скидок'!AH26</f>
        <v>0</v>
      </c>
      <c r="AI26" s="228">
        <f>'расчет цен и скидок'!AI26</f>
        <v>0</v>
      </c>
      <c r="AJ26" s="229" t="e">
        <f>'расчет цен и скидок'!AJ26</f>
        <v>#DIV/0!</v>
      </c>
      <c r="AK26" s="227">
        <f>'расчет цен и скидок'!AK26</f>
        <v>0</v>
      </c>
      <c r="AL26" s="228">
        <f>'расчет цен и скидок'!AL26</f>
        <v>0</v>
      </c>
      <c r="AM26" s="228">
        <f>'расчет цен и скидок'!AM26</f>
        <v>0</v>
      </c>
      <c r="AN26" s="228">
        <f>'расчет цен и скидок'!AN26</f>
        <v>0</v>
      </c>
      <c r="AO26" s="227">
        <f>'расчет цен и скидок'!AO26</f>
        <v>0</v>
      </c>
      <c r="AP26" s="228">
        <f>'расчет цен и скидок'!AP26</f>
        <v>3020</v>
      </c>
      <c r="AQ26" s="228">
        <f>'расчет цен и скидок'!AQ26</f>
        <v>0</v>
      </c>
      <c r="AR26" s="228">
        <f>'расчет цен и скидок'!AR26</f>
        <v>0</v>
      </c>
      <c r="AS26" s="227">
        <f>'расчет цен и скидок'!AS26</f>
        <v>0</v>
      </c>
      <c r="AT26" s="228">
        <f>'расчет цен и скидок'!AT26</f>
        <v>0</v>
      </c>
      <c r="AU26" s="228">
        <f>'расчет цен и скидок'!AU26</f>
        <v>0</v>
      </c>
      <c r="AV26" s="228">
        <f>'расчет цен и скидок'!AV26</f>
        <v>0</v>
      </c>
      <c r="AW26" s="227">
        <f>'расчет цен и скидок'!AW26</f>
        <v>0</v>
      </c>
      <c r="AX26" s="228">
        <f>'расчет цен и скидок'!AX26</f>
        <v>0</v>
      </c>
      <c r="AY26" s="230">
        <f>'расчет цен и скидок'!AY26</f>
        <v>0</v>
      </c>
      <c r="AZ26" s="227">
        <f>'расчет цен и скидок'!AZ26</f>
        <v>0</v>
      </c>
      <c r="BA26" s="228">
        <f>'расчет цен и скидок'!BA26</f>
        <v>0</v>
      </c>
      <c r="BB26" s="230">
        <f>'расчет цен и скидок'!BB26</f>
        <v>0</v>
      </c>
      <c r="BC26" s="227">
        <f>'расчет цен и скидок'!BC26</f>
        <v>0</v>
      </c>
      <c r="BD26" s="230">
        <f>'расчет цен и скидок'!BD26</f>
        <v>0</v>
      </c>
      <c r="BE26" s="230">
        <f>'расчет цен и скидок'!BE26</f>
        <v>0</v>
      </c>
      <c r="BF26" s="218">
        <f>'расчет цен и скидок'!BF26</f>
        <v>0</v>
      </c>
      <c r="BG26" s="228">
        <f>'расчет цен и скидок'!BG26</f>
        <v>0</v>
      </c>
      <c r="BH26" s="230">
        <f>'расчет цен и скидок'!BH26</f>
        <v>0</v>
      </c>
      <c r="BI26" s="227">
        <f>'расчет цен и скидок'!BI26</f>
        <v>0</v>
      </c>
      <c r="BJ26" s="228">
        <f>'расчет цен и скидок'!BJ26</f>
        <v>0</v>
      </c>
      <c r="BK26" s="230">
        <f>'расчет цен и скидок'!BK26</f>
        <v>0</v>
      </c>
      <c r="BL26" s="230">
        <f>'расчет цен и скидок'!BL26</f>
        <v>0</v>
      </c>
      <c r="BM26" s="230">
        <f>'расчет цен и скидок'!BM26</f>
        <v>0</v>
      </c>
      <c r="BN26" s="230">
        <f>'расчет цен и скидок'!BN26</f>
        <v>0</v>
      </c>
      <c r="BO26" s="230">
        <f>'расчет цен и скидок'!BO26</f>
        <v>0</v>
      </c>
      <c r="BP26" s="230">
        <f>'расчет цен и скидок'!BP26</f>
        <v>0</v>
      </c>
      <c r="BQ26" s="230">
        <f>'расчет цен и скидок'!BQ26</f>
        <v>0</v>
      </c>
      <c r="BR26" s="230">
        <f>'расчет цен и скидок'!BR26</f>
        <v>0</v>
      </c>
      <c r="BS26" s="230">
        <f>'расчет цен и скидок'!BS26</f>
        <v>0</v>
      </c>
      <c r="BT26" s="230">
        <f>'расчет цен и скидок'!BT26</f>
        <v>0</v>
      </c>
      <c r="BU26" s="230">
        <f>'расчет цен и скидок'!BU26</f>
        <v>0</v>
      </c>
      <c r="BV26" s="230">
        <f>'расчет цен и скидок'!BV26</f>
        <v>0</v>
      </c>
      <c r="BW26" s="230">
        <f>'расчет цен и скидок'!BW26</f>
        <v>0</v>
      </c>
      <c r="BX26" s="230">
        <f>'расчет цен и скидок'!BX26</f>
        <v>0</v>
      </c>
      <c r="BY26" s="230">
        <f>'расчет цен и скидок'!BY26</f>
        <v>0</v>
      </c>
      <c r="BZ26" s="230">
        <f>'расчет цен и скидок'!BZ26</f>
        <v>0</v>
      </c>
      <c r="CA26" s="230">
        <f>'расчет цен и скидок'!CA26</f>
        <v>0</v>
      </c>
      <c r="CB26" s="230">
        <f>'расчет цен и скидок'!CB26</f>
        <v>0</v>
      </c>
      <c r="CC26" s="230">
        <f>'расчет цен и скидок'!CC26</f>
        <v>0</v>
      </c>
      <c r="CD26" s="230">
        <f>'расчет цен и скидок'!CD26</f>
        <v>0</v>
      </c>
      <c r="CE26" s="230">
        <f>'расчет цен и скидок'!CE26</f>
        <v>0</v>
      </c>
      <c r="CF26" s="230">
        <f>'расчет цен и скидок'!CF26</f>
        <v>0</v>
      </c>
      <c r="CG26" s="230">
        <f>'расчет цен и скидок'!CG26</f>
        <v>0</v>
      </c>
      <c r="CH26" s="230">
        <f>'расчет цен и скидок'!CH26</f>
        <v>0</v>
      </c>
      <c r="CI26" s="230">
        <f>'расчет цен и скидок'!CI26</f>
        <v>0</v>
      </c>
      <c r="CJ26" s="230">
        <f>'расчет цен и скидок'!CJ26</f>
        <v>0</v>
      </c>
      <c r="CK26" s="230">
        <f>'расчет цен и скидок'!CK26</f>
        <v>0</v>
      </c>
      <c r="CL26" s="230">
        <f>'расчет цен и скидок'!CL26</f>
        <v>0</v>
      </c>
      <c r="CM26" s="230">
        <f>'расчет цен и скидок'!CM26</f>
        <v>0</v>
      </c>
      <c r="CN26" s="230">
        <f>'расчет цен и скидок'!CN26</f>
        <v>0</v>
      </c>
    </row>
    <row r="27" spans="1:92" ht="15.75">
      <c r="A27" s="279" t="str">
        <f>'расчет цен и скидок'!A27</f>
        <v>ПШБМ 1-3</v>
      </c>
      <c r="B27" s="308" t="str">
        <f>'расчет цен и скидок'!B27</f>
        <v>в МКР (без стоимости МКР)</v>
      </c>
      <c r="C27" s="219">
        <f>'расчет цен и скидок'!C27</f>
        <v>0</v>
      </c>
      <c r="D27" s="219">
        <f>'расчет цен и скидок'!D27</f>
        <v>0</v>
      </c>
      <c r="E27" s="219">
        <f>'расчет цен и скидок'!E27</f>
        <v>0</v>
      </c>
      <c r="F27" s="219">
        <f>'расчет цен и скидок'!F27</f>
        <v>0</v>
      </c>
      <c r="G27" s="219">
        <f>'расчет цен и скидок'!G27</f>
        <v>0</v>
      </c>
      <c r="H27" s="219">
        <f>'расчет цен и скидок'!H27</f>
        <v>0</v>
      </c>
      <c r="I27" s="219">
        <f>'расчет цен и скидок'!I27</f>
        <v>0</v>
      </c>
      <c r="J27" s="219">
        <f>'расчет цен и скидок'!J27</f>
        <v>0</v>
      </c>
      <c r="K27" s="220">
        <f>'расчет цен и скидок'!K27</f>
        <v>3300</v>
      </c>
      <c r="L27" s="220">
        <f>'расчет цен и скидок'!L27</f>
        <v>3894</v>
      </c>
      <c r="M27" s="220">
        <f>'расчет цен и скидок'!M27</f>
        <v>0</v>
      </c>
      <c r="N27" s="221">
        <f>'расчет цен и скидок'!N27</f>
        <v>3300</v>
      </c>
      <c r="O27" s="221">
        <f>'расчет цен и скидок'!O27</f>
        <v>3894</v>
      </c>
      <c r="P27" s="232">
        <f>'расчет цен и скидок'!P27</f>
        <v>2900</v>
      </c>
      <c r="Q27" s="233">
        <f>'расчет цен и скидок'!Q27</f>
        <v>522</v>
      </c>
      <c r="R27" s="234">
        <f>'расчет цен и скидок'!R27</f>
        <v>3422</v>
      </c>
      <c r="S27" s="223">
        <f>'расчет цен и скидок'!S27</f>
        <v>0</v>
      </c>
      <c r="T27" s="224">
        <f>'расчет цен и скидок'!T27</f>
        <v>-0.12121212121212122</v>
      </c>
      <c r="U27" s="288">
        <f>'расчет цен и скидок'!U27</f>
        <v>0.03</v>
      </c>
      <c r="V27" s="289">
        <f>'расчет цен и скидок'!V27</f>
        <v>2813</v>
      </c>
      <c r="W27" s="289">
        <f>'расчет цен и скидок'!W27</f>
        <v>2813</v>
      </c>
      <c r="X27" s="289">
        <f>'расчет цен и скидок'!X27</f>
        <v>3319.3399999999997</v>
      </c>
      <c r="Y27" s="314">
        <f>'расчет цен и скидок'!Y27</f>
        <v>0</v>
      </c>
      <c r="Z27" s="311">
        <f>'расчет цен и скидок'!Z27</f>
        <v>0.08</v>
      </c>
      <c r="AA27" s="302">
        <f>'расчет цен и скидок'!AA27</f>
        <v>2668</v>
      </c>
      <c r="AB27" s="302">
        <f>'расчет цен и скидок'!AB27</f>
        <v>3148.24</v>
      </c>
      <c r="AC27" s="227">
        <f>'расчет цен и скидок'!AC27</f>
        <v>0</v>
      </c>
      <c r="AD27" s="228">
        <f>'расчет цен и скидок'!AD27</f>
        <v>0</v>
      </c>
      <c r="AE27" s="228">
        <f>'расчет цен и скидок'!AE27</f>
        <v>0</v>
      </c>
      <c r="AF27" s="228">
        <f>'расчет цен и скидок'!AF27</f>
        <v>0</v>
      </c>
      <c r="AG27" s="228">
        <f>'расчет цен и скидок'!AG27</f>
        <v>0</v>
      </c>
      <c r="AH27" s="228">
        <f>'расчет цен и скидок'!AH27</f>
        <v>0</v>
      </c>
      <c r="AI27" s="228">
        <f>'расчет цен и скидок'!AI27</f>
        <v>0</v>
      </c>
      <c r="AJ27" s="229" t="e">
        <f>'расчет цен и скидок'!AJ27</f>
        <v>#DIV/0!</v>
      </c>
      <c r="AK27" s="227">
        <f>'расчет цен и скидок'!AK27</f>
        <v>0</v>
      </c>
      <c r="AL27" s="228">
        <f>'расчет цен и скидок'!AL27</f>
        <v>0</v>
      </c>
      <c r="AM27" s="228">
        <f>'расчет цен и скидок'!AM27</f>
        <v>0</v>
      </c>
      <c r="AN27" s="228">
        <f>'расчет цен и скидок'!AN27</f>
        <v>0</v>
      </c>
      <c r="AO27" s="227">
        <f>'расчет цен и скидок'!AO27</f>
        <v>0</v>
      </c>
      <c r="AP27" s="228">
        <f>'расчет цен и скидок'!AP27</f>
        <v>0</v>
      </c>
      <c r="AQ27" s="228">
        <f>'расчет цен и скидок'!AQ27</f>
        <v>0</v>
      </c>
      <c r="AR27" s="228">
        <f>'расчет цен и скидок'!AR27</f>
        <v>0</v>
      </c>
      <c r="AS27" s="227">
        <f>'расчет цен и скидок'!AS27</f>
        <v>0</v>
      </c>
      <c r="AT27" s="228">
        <f>'расчет цен и скидок'!AT27</f>
        <v>0</v>
      </c>
      <c r="AU27" s="228">
        <f>'расчет цен и скидок'!AU27</f>
        <v>0</v>
      </c>
      <c r="AV27" s="228">
        <f>'расчет цен и скидок'!AV27</f>
        <v>0</v>
      </c>
      <c r="AW27" s="227">
        <f>'расчет цен и скидок'!AW27</f>
        <v>0</v>
      </c>
      <c r="AX27" s="228">
        <f>'расчет цен и скидок'!AX27</f>
        <v>0</v>
      </c>
      <c r="AY27" s="230">
        <f>'расчет цен и скидок'!AY27</f>
        <v>0</v>
      </c>
      <c r="AZ27" s="227">
        <f>'расчет цен и скидок'!AZ27</f>
        <v>0</v>
      </c>
      <c r="BA27" s="228">
        <f>'расчет цен и скидок'!BA27</f>
        <v>0</v>
      </c>
      <c r="BB27" s="230">
        <f>'расчет цен и скидок'!BB27</f>
        <v>0</v>
      </c>
      <c r="BC27" s="227">
        <f>'расчет цен и скидок'!BC27</f>
        <v>0</v>
      </c>
      <c r="BD27" s="230">
        <f>'расчет цен и скидок'!BD27</f>
        <v>0</v>
      </c>
      <c r="BE27" s="230">
        <f>'расчет цен и скидок'!BE27</f>
        <v>0</v>
      </c>
      <c r="BF27" s="218">
        <f>'расчет цен и скидок'!BF27</f>
        <v>0</v>
      </c>
      <c r="BG27" s="228">
        <f>'расчет цен и скидок'!BG27</f>
        <v>0</v>
      </c>
      <c r="BH27" s="230">
        <f>'расчет цен и скидок'!BH27</f>
        <v>0</v>
      </c>
      <c r="BI27" s="227">
        <f>'расчет цен и скидок'!BI27</f>
        <v>0</v>
      </c>
      <c r="BJ27" s="228">
        <f>'расчет цен и скидок'!BJ27</f>
        <v>0</v>
      </c>
      <c r="BK27" s="230">
        <f>'расчет цен и скидок'!BK27</f>
        <v>0</v>
      </c>
      <c r="BL27" s="230">
        <f>'расчет цен и скидок'!BL27</f>
        <v>0</v>
      </c>
      <c r="BM27" s="230">
        <f>'расчет цен и скидок'!BM27</f>
        <v>0</v>
      </c>
      <c r="BN27" s="230">
        <f>'расчет цен и скидок'!BN27</f>
        <v>0</v>
      </c>
      <c r="BO27" s="230">
        <f>'расчет цен и скидок'!BO27</f>
        <v>0</v>
      </c>
      <c r="BP27" s="230">
        <f>'расчет цен и скидок'!BP27</f>
        <v>0</v>
      </c>
      <c r="BQ27" s="230">
        <f>'расчет цен и скидок'!BQ27</f>
        <v>0</v>
      </c>
      <c r="BR27" s="230">
        <f>'расчет цен и скидок'!BR27</f>
        <v>0</v>
      </c>
      <c r="BS27" s="230">
        <f>'расчет цен и скидок'!BS27</f>
        <v>0</v>
      </c>
      <c r="BT27" s="230">
        <f>'расчет цен и скидок'!BT27</f>
        <v>0</v>
      </c>
      <c r="BU27" s="230">
        <f>'расчет цен и скидок'!BU27</f>
        <v>0</v>
      </c>
      <c r="BV27" s="230">
        <f>'расчет цен и скидок'!BV27</f>
        <v>0</v>
      </c>
      <c r="BW27" s="230">
        <f>'расчет цен и скидок'!BW27</f>
        <v>0</v>
      </c>
      <c r="BX27" s="230">
        <f>'расчет цен и скидок'!BX27</f>
        <v>0</v>
      </c>
      <c r="BY27" s="230">
        <f>'расчет цен и скидок'!BY27</f>
        <v>0</v>
      </c>
      <c r="BZ27" s="230">
        <f>'расчет цен и скидок'!BZ27</f>
        <v>0</v>
      </c>
      <c r="CA27" s="230">
        <f>'расчет цен и скидок'!CA27</f>
        <v>0</v>
      </c>
      <c r="CB27" s="230">
        <f>'расчет цен и скидок'!CB27</f>
        <v>0</v>
      </c>
      <c r="CC27" s="230">
        <f>'расчет цен и скидок'!CC27</f>
        <v>0</v>
      </c>
      <c r="CD27" s="230">
        <f>'расчет цен и скидок'!CD27</f>
        <v>0</v>
      </c>
      <c r="CE27" s="230">
        <f>'расчет цен и скидок'!CE27</f>
        <v>0</v>
      </c>
      <c r="CF27" s="230">
        <f>'расчет цен и скидок'!CF27</f>
        <v>0</v>
      </c>
      <c r="CG27" s="230">
        <f>'расчет цен и скидок'!CG27</f>
        <v>0</v>
      </c>
      <c r="CH27" s="230">
        <f>'расчет цен и скидок'!CH27</f>
        <v>0</v>
      </c>
      <c r="CI27" s="230">
        <f>'расчет цен и скидок'!CI27</f>
        <v>0</v>
      </c>
      <c r="CJ27" s="230">
        <f>'расчет цен и скидок'!CJ27</f>
        <v>0</v>
      </c>
      <c r="CK27" s="230">
        <f>'расчет цен и скидок'!CK27</f>
        <v>0</v>
      </c>
      <c r="CL27" s="230">
        <f>'расчет цен и скидок'!CL27</f>
        <v>0</v>
      </c>
      <c r="CM27" s="230">
        <f>'расчет цен и скидок'!CM27</f>
        <v>0</v>
      </c>
      <c r="CN27" s="230">
        <f>'расчет цен и скидок'!CN27</f>
        <v>0</v>
      </c>
    </row>
    <row r="28" spans="1:92" ht="15.75">
      <c r="A28" s="279" t="str">
        <f>'расчет цен и скидок'!A28</f>
        <v>ПШБМ 1-3</v>
      </c>
      <c r="B28" s="308" t="str">
        <f>'расчет цен и скидок'!B28</f>
        <v>с учетом стоимости МКР (с вкладышем)</v>
      </c>
      <c r="C28" s="219">
        <f>'расчет цен и скидок'!C28</f>
        <v>0</v>
      </c>
      <c r="D28" s="219">
        <f>'расчет цен и скидок'!D28</f>
        <v>0</v>
      </c>
      <c r="E28" s="219">
        <f>'расчет цен и скидок'!E28</f>
        <v>0</v>
      </c>
      <c r="F28" s="219">
        <f>'расчет цен и скидок'!F28</f>
        <v>0</v>
      </c>
      <c r="G28" s="219">
        <f>'расчет цен и скидок'!G28</f>
        <v>0</v>
      </c>
      <c r="H28" s="219">
        <f>'расчет цен и скидок'!H28</f>
        <v>0</v>
      </c>
      <c r="I28" s="219">
        <f>'расчет цен и скидок'!I28</f>
        <v>0</v>
      </c>
      <c r="J28" s="219">
        <f>'расчет цен и скидок'!J28</f>
        <v>0</v>
      </c>
      <c r="K28" s="220">
        <f>'расчет цен и скидок'!K28</f>
        <v>3535</v>
      </c>
      <c r="L28" s="220">
        <f>'расчет цен и скидок'!L28</f>
        <v>4171</v>
      </c>
      <c r="M28" s="220">
        <f>'расчет цен и скидок'!M28</f>
        <v>0</v>
      </c>
      <c r="N28" s="221">
        <f>'расчет цен и скидок'!N28</f>
        <v>3535</v>
      </c>
      <c r="O28" s="221">
        <f>'расчет цен и скидок'!O28</f>
        <v>4171.3</v>
      </c>
      <c r="P28" s="232">
        <f>'расчет цен и скидок'!P28</f>
        <v>3100</v>
      </c>
      <c r="Q28" s="233">
        <f>'расчет цен и скидок'!Q28</f>
        <v>558</v>
      </c>
      <c r="R28" s="233">
        <f>'расчет цен и скидок'!R28</f>
        <v>3658</v>
      </c>
      <c r="S28" s="223">
        <f>'расчет цен и скидок'!S28</f>
        <v>0</v>
      </c>
      <c r="T28" s="224">
        <f>'расчет цен и скидок'!T28</f>
        <v>-0.12299208822824263</v>
      </c>
      <c r="U28" s="291">
        <f>'расчет цен и скидок'!U28</f>
        <v>0.03</v>
      </c>
      <c r="V28" s="292">
        <f>'расчет цен и скидок'!V28</f>
        <v>3007</v>
      </c>
      <c r="W28" s="292">
        <f>'расчет цен и скидок'!W28</f>
        <v>3007</v>
      </c>
      <c r="X28" s="292">
        <f>'расчет цен и скидок'!X28</f>
        <v>3548.2599999999998</v>
      </c>
      <c r="Y28" s="314">
        <f>'расчет цен и скидок'!Y28</f>
        <v>0</v>
      </c>
      <c r="Z28" s="311">
        <f>'расчет цен и скидок'!Z28</f>
        <v>0.08</v>
      </c>
      <c r="AA28" s="302">
        <f>'расчет цен и скидок'!AA28</f>
        <v>2868</v>
      </c>
      <c r="AB28" s="302">
        <f>'расчет цен и скидок'!AB28</f>
        <v>3384.24</v>
      </c>
      <c r="AC28" s="227">
        <f>'расчет цен и скидок'!AC28</f>
        <v>0</v>
      </c>
      <c r="AD28" s="228">
        <f>'расчет цен и скидок'!AD28</f>
        <v>0</v>
      </c>
      <c r="AE28" s="228">
        <f>'расчет цен и скидок'!AE28</f>
        <v>0</v>
      </c>
      <c r="AF28" s="228">
        <f>'расчет цен и скидок'!AF28</f>
        <v>0</v>
      </c>
      <c r="AG28" s="228">
        <f>'расчет цен и скидок'!AG28</f>
        <v>0</v>
      </c>
      <c r="AH28" s="228">
        <f>'расчет цен и скидок'!AH28</f>
        <v>0</v>
      </c>
      <c r="AI28" s="228">
        <f>'расчет цен и скидок'!AI28</f>
        <v>0</v>
      </c>
      <c r="AJ28" s="229" t="e">
        <f>'расчет цен и скидок'!AJ28</f>
        <v>#DIV/0!</v>
      </c>
      <c r="AK28" s="227">
        <f>'расчет цен и скидок'!AK28</f>
        <v>0</v>
      </c>
      <c r="AL28" s="228">
        <f>'расчет цен и скидок'!AL28</f>
        <v>0</v>
      </c>
      <c r="AM28" s="228">
        <f>'расчет цен и скидок'!AM28</f>
        <v>0</v>
      </c>
      <c r="AN28" s="228">
        <f>'расчет цен и скидок'!AN28</f>
        <v>0</v>
      </c>
      <c r="AO28" s="227">
        <f>'расчет цен и скидок'!AO28</f>
        <v>0</v>
      </c>
      <c r="AP28" s="228">
        <f>'расчет цен и скидок'!AP28</f>
        <v>0</v>
      </c>
      <c r="AQ28" s="228">
        <f>'расчет цен и скидок'!AQ28</f>
        <v>0</v>
      </c>
      <c r="AR28" s="228">
        <f>'расчет цен и скидок'!AR28</f>
        <v>0</v>
      </c>
      <c r="AS28" s="227">
        <f>'расчет цен и скидок'!AS28</f>
        <v>0</v>
      </c>
      <c r="AT28" s="228">
        <f>'расчет цен и скидок'!AT28</f>
        <v>0</v>
      </c>
      <c r="AU28" s="228">
        <f>'расчет цен и скидок'!AU28</f>
        <v>0</v>
      </c>
      <c r="AV28" s="228">
        <f>'расчет цен и скидок'!AV28</f>
        <v>0</v>
      </c>
      <c r="AW28" s="227">
        <f>'расчет цен и скидок'!AW28</f>
        <v>0</v>
      </c>
      <c r="AX28" s="228">
        <f>'расчет цен и скидок'!AX28</f>
        <v>0</v>
      </c>
      <c r="AY28" s="230">
        <f>'расчет цен и скидок'!AY28</f>
        <v>0</v>
      </c>
      <c r="AZ28" s="227">
        <f>'расчет цен и скидок'!AZ28</f>
        <v>0</v>
      </c>
      <c r="BA28" s="228">
        <f>'расчет цен и скидок'!BA28</f>
        <v>0</v>
      </c>
      <c r="BB28" s="230">
        <f>'расчет цен и скидок'!BB28</f>
        <v>0</v>
      </c>
      <c r="BC28" s="227">
        <f>'расчет цен и скидок'!BC28</f>
        <v>0</v>
      </c>
      <c r="BD28" s="230">
        <f>'расчет цен и скидок'!BD28</f>
        <v>0</v>
      </c>
      <c r="BE28" s="230">
        <f>'расчет цен и скидок'!BE28</f>
        <v>0</v>
      </c>
      <c r="BF28" s="218">
        <f>'расчет цен и скидок'!BF28</f>
        <v>0</v>
      </c>
      <c r="BG28" s="228">
        <f>'расчет цен и скидок'!BG28</f>
        <v>0</v>
      </c>
      <c r="BH28" s="230">
        <f>'расчет цен и скидок'!BH28</f>
        <v>0</v>
      </c>
      <c r="BI28" s="227">
        <f>'расчет цен и скидок'!BI28</f>
        <v>0</v>
      </c>
      <c r="BJ28" s="228">
        <f>'расчет цен и скидок'!BJ28</f>
        <v>0</v>
      </c>
      <c r="BK28" s="230">
        <f>'расчет цен и скидок'!BK28</f>
        <v>0</v>
      </c>
      <c r="BL28" s="230">
        <f>'расчет цен и скидок'!BL28</f>
        <v>0</v>
      </c>
      <c r="BM28" s="230">
        <f>'расчет цен и скидок'!BM28</f>
        <v>0</v>
      </c>
      <c r="BN28" s="230">
        <f>'расчет цен и скидок'!BN28</f>
        <v>0</v>
      </c>
      <c r="BO28" s="230">
        <f>'расчет цен и скидок'!BO28</f>
        <v>0</v>
      </c>
      <c r="BP28" s="230">
        <f>'расчет цен и скидок'!BP28</f>
        <v>0</v>
      </c>
      <c r="BQ28" s="230">
        <f>'расчет цен и скидок'!BQ28</f>
        <v>0</v>
      </c>
      <c r="BR28" s="230">
        <f>'расчет цен и скидок'!BR28</f>
        <v>0</v>
      </c>
      <c r="BS28" s="230">
        <f>'расчет цен и скидок'!BS28</f>
        <v>0</v>
      </c>
      <c r="BT28" s="230">
        <f>'расчет цен и скидок'!BT28</f>
        <v>0</v>
      </c>
      <c r="BU28" s="230">
        <f>'расчет цен и скидок'!BU28</f>
        <v>0</v>
      </c>
      <c r="BV28" s="230">
        <f>'расчет цен и скидок'!BV28</f>
        <v>0</v>
      </c>
      <c r="BW28" s="230">
        <f>'расчет цен и скидок'!BW28</f>
        <v>0</v>
      </c>
      <c r="BX28" s="230">
        <f>'расчет цен и скидок'!BX28</f>
        <v>0</v>
      </c>
      <c r="BY28" s="230">
        <f>'расчет цен и скидок'!BY28</f>
        <v>0</v>
      </c>
      <c r="BZ28" s="230">
        <f>'расчет цен и скидок'!BZ28</f>
        <v>0</v>
      </c>
      <c r="CA28" s="230">
        <f>'расчет цен и скидок'!CA28</f>
        <v>0</v>
      </c>
      <c r="CB28" s="230">
        <f>'расчет цен и скидок'!CB28</f>
        <v>0</v>
      </c>
      <c r="CC28" s="230">
        <f>'расчет цен и скидок'!CC28</f>
        <v>0</v>
      </c>
      <c r="CD28" s="230">
        <f>'расчет цен и скидок'!CD28</f>
        <v>0</v>
      </c>
      <c r="CE28" s="230">
        <f>'расчет цен и скидок'!CE28</f>
        <v>0</v>
      </c>
      <c r="CF28" s="230">
        <f>'расчет цен и скидок'!CF28</f>
        <v>0</v>
      </c>
      <c r="CG28" s="230">
        <f>'расчет цен и скидок'!CG28</f>
        <v>0</v>
      </c>
      <c r="CH28" s="230">
        <f>'расчет цен и скидок'!CH28</f>
        <v>0</v>
      </c>
      <c r="CI28" s="230">
        <f>'расчет цен и скидок'!CI28</f>
        <v>0</v>
      </c>
      <c r="CJ28" s="230">
        <f>'расчет цен и скидок'!CJ28</f>
        <v>0</v>
      </c>
      <c r="CK28" s="230">
        <f>'расчет цен и скидок'!CK28</f>
        <v>0</v>
      </c>
      <c r="CL28" s="230">
        <f>'расчет цен и скидок'!CL28</f>
        <v>0</v>
      </c>
      <c r="CM28" s="230">
        <f>'расчет цен и скидок'!CM28</f>
        <v>0</v>
      </c>
      <c r="CN28" s="230">
        <f>'расчет цен и скидок'!CN28</f>
        <v>0</v>
      </c>
    </row>
    <row r="29" spans="1:92" ht="15.75">
      <c r="A29" s="279" t="str">
        <f>'расчет цен и скидок'!A29</f>
        <v>ПШБМ 5, 4</v>
      </c>
      <c r="B29" s="308" t="str">
        <f>'расчет цен и скидок'!B29</f>
        <v>вагонные поставки</v>
      </c>
      <c r="C29" s="219">
        <f>'расчет цен и скидок'!C29</f>
        <v>0</v>
      </c>
      <c r="D29" s="219">
        <f>'расчет цен и скидок'!D29</f>
        <v>0</v>
      </c>
      <c r="E29" s="219">
        <f>'расчет цен и скидок'!E29</f>
        <v>0</v>
      </c>
      <c r="F29" s="219">
        <f>'расчет цен и скидок'!F29</f>
        <v>0</v>
      </c>
      <c r="G29" s="219">
        <f>'расчет цен и скидок'!G29</f>
        <v>0</v>
      </c>
      <c r="H29" s="219">
        <f>'расчет цен и скидок'!H29</f>
        <v>0</v>
      </c>
      <c r="I29" s="219">
        <f>'расчет цен и скидок'!I29</f>
        <v>0</v>
      </c>
      <c r="J29" s="219">
        <f>'расчет цен и скидок'!J29</f>
        <v>0</v>
      </c>
      <c r="K29" s="221">
        <f>'расчет цен и скидок'!K29</f>
        <v>3050</v>
      </c>
      <c r="L29" s="221">
        <f>'расчет цен и скидок'!L29</f>
        <v>3599</v>
      </c>
      <c r="M29" s="221">
        <f>'расчет цен и скидок'!M29</f>
        <v>0</v>
      </c>
      <c r="N29" s="221" t="str">
        <f>'расчет цен и скидок'!N29</f>
        <v>х</v>
      </c>
      <c r="O29" s="221" t="str">
        <f>'расчет цен и скидок'!O29</f>
        <v>х</v>
      </c>
      <c r="P29" s="232" t="str">
        <f>'расчет цен и скидок'!P29</f>
        <v>х</v>
      </c>
      <c r="Q29" s="233" t="str">
        <f>'расчет цен и скидок'!Q29</f>
        <v>х</v>
      </c>
      <c r="R29" s="234" t="str">
        <f>'расчет цен и скидок'!R29</f>
        <v>х</v>
      </c>
      <c r="S29" s="223" t="str">
        <f>'расчет цен и скидок'!S29</f>
        <v>х</v>
      </c>
      <c r="T29" s="224" t="str">
        <f>'расчет цен и скидок'!T29</f>
        <v>х</v>
      </c>
      <c r="U29" s="250"/>
      <c r="Z29" s="311"/>
      <c r="AA29" s="302"/>
      <c r="AB29" s="302"/>
      <c r="AC29" s="227">
        <f>'расчет цен и скидок'!AC29</f>
        <v>0</v>
      </c>
      <c r="AD29" s="228">
        <f>'расчет цен и скидок'!AD29</f>
        <v>0</v>
      </c>
      <c r="AE29" s="228">
        <f>'расчет цен и скидок'!AE29</f>
        <v>0</v>
      </c>
      <c r="AF29" s="228">
        <f>'расчет цен и скидок'!AF29</f>
        <v>0</v>
      </c>
      <c r="AG29" s="228">
        <f>'расчет цен и скидок'!AG29</f>
        <v>0</v>
      </c>
      <c r="AH29" s="228">
        <f>'расчет цен и скидок'!AH29</f>
        <v>0</v>
      </c>
      <c r="AI29" s="228">
        <f>'расчет цен и скидок'!AI29</f>
        <v>0</v>
      </c>
      <c r="AJ29" s="229" t="e">
        <f>'расчет цен и скидок'!AJ29</f>
        <v>#DIV/0!</v>
      </c>
      <c r="AK29" s="227">
        <f>'расчет цен и скидок'!AK29</f>
        <v>0</v>
      </c>
      <c r="AL29" s="228">
        <f>'расчет цен и скидок'!AL29</f>
        <v>0</v>
      </c>
      <c r="AM29" s="228">
        <f>'расчет цен и скидок'!AM29</f>
        <v>0</v>
      </c>
      <c r="AN29" s="228">
        <f>'расчет цен и скидок'!AN29</f>
        <v>0</v>
      </c>
      <c r="AO29" s="227">
        <f>'расчет цен и скидок'!AO29</f>
        <v>0</v>
      </c>
      <c r="AP29" s="228">
        <f>'расчет цен и скидок'!AP29</f>
        <v>0</v>
      </c>
      <c r="AQ29" s="228">
        <f>'расчет цен и скидок'!AQ29</f>
        <v>0</v>
      </c>
      <c r="AR29" s="228">
        <f>'расчет цен и скидок'!AR29</f>
        <v>0</v>
      </c>
      <c r="AS29" s="227">
        <f>'расчет цен и скидок'!AS29</f>
        <v>0</v>
      </c>
      <c r="AT29" s="228">
        <f>'расчет цен и скидок'!AT29</f>
        <v>0</v>
      </c>
      <c r="AU29" s="228">
        <f>'расчет цен и скидок'!AU29</f>
        <v>0</v>
      </c>
      <c r="AV29" s="228">
        <f>'расчет цен и скидок'!AV29</f>
        <v>0</v>
      </c>
      <c r="AW29" s="227">
        <f>'расчет цен и скидок'!AW29</f>
        <v>0</v>
      </c>
      <c r="AX29" s="228">
        <f>'расчет цен и скидок'!AX29</f>
        <v>0</v>
      </c>
      <c r="AY29" s="230">
        <f>'расчет цен и скидок'!AY29</f>
        <v>0</v>
      </c>
      <c r="AZ29" s="227">
        <f>'расчет цен и скидок'!AZ29</f>
        <v>0</v>
      </c>
      <c r="BA29" s="228">
        <f>'расчет цен и скидок'!BA29</f>
        <v>0</v>
      </c>
      <c r="BB29" s="230">
        <f>'расчет цен и скидок'!BB29</f>
        <v>0</v>
      </c>
      <c r="BC29" s="227">
        <f>'расчет цен и скидок'!BC29</f>
        <v>0</v>
      </c>
      <c r="BD29" s="230">
        <f>'расчет цен и скидок'!BD29</f>
        <v>0</v>
      </c>
      <c r="BE29" s="230">
        <f>'расчет цен и скидок'!BE29</f>
        <v>0</v>
      </c>
      <c r="BF29" s="218">
        <f>'расчет цен и скидок'!BF29</f>
        <v>0</v>
      </c>
      <c r="BG29" s="228">
        <f>'расчет цен и скидок'!BG29</f>
        <v>0</v>
      </c>
      <c r="BH29" s="230">
        <f>'расчет цен и скидок'!BH29</f>
        <v>0</v>
      </c>
      <c r="BI29" s="227">
        <f>'расчет цен и скидок'!BI29</f>
        <v>0</v>
      </c>
      <c r="BJ29" s="228">
        <f>'расчет цен и скидок'!BJ29</f>
        <v>0</v>
      </c>
      <c r="BK29" s="230">
        <f>'расчет цен и скидок'!BK29</f>
        <v>0</v>
      </c>
      <c r="BL29" s="230">
        <f>'расчет цен и скидок'!BL29</f>
        <v>0</v>
      </c>
      <c r="BM29" s="230">
        <f>'расчет цен и скидок'!BM29</f>
        <v>0</v>
      </c>
      <c r="BN29" s="230">
        <f>'расчет цен и скидок'!BN29</f>
        <v>0</v>
      </c>
      <c r="BO29" s="230">
        <f>'расчет цен и скидок'!BO29</f>
        <v>0</v>
      </c>
      <c r="BP29" s="230">
        <f>'расчет цен и скидок'!BP29</f>
        <v>0</v>
      </c>
      <c r="BQ29" s="230">
        <f>'расчет цен и скидок'!BQ29</f>
        <v>0</v>
      </c>
      <c r="BR29" s="230">
        <f>'расчет цен и скидок'!BR29</f>
        <v>0</v>
      </c>
      <c r="BS29" s="230">
        <f>'расчет цен и скидок'!BS29</f>
        <v>0</v>
      </c>
      <c r="BT29" s="230">
        <f>'расчет цен и скидок'!BT29</f>
        <v>0</v>
      </c>
      <c r="BU29" s="230">
        <f>'расчет цен и скидок'!BU29</f>
        <v>0</v>
      </c>
      <c r="BV29" s="230">
        <f>'расчет цен и скидок'!BV29</f>
        <v>0</v>
      </c>
      <c r="BW29" s="230">
        <f>'расчет цен и скидок'!BW29</f>
        <v>0</v>
      </c>
      <c r="BX29" s="230">
        <f>'расчет цен и скидок'!BX29</f>
        <v>0</v>
      </c>
      <c r="BY29" s="230">
        <f>'расчет цен и скидок'!BY29</f>
        <v>0</v>
      </c>
      <c r="BZ29" s="230">
        <f>'расчет цен и скидок'!BZ29</f>
        <v>0</v>
      </c>
      <c r="CA29" s="230">
        <f>'расчет цен и скидок'!CA29</f>
        <v>0</v>
      </c>
      <c r="CB29" s="230">
        <f>'расчет цен и скидок'!CB29</f>
        <v>0</v>
      </c>
      <c r="CC29" s="230">
        <f>'расчет цен и скидок'!CC29</f>
        <v>0</v>
      </c>
      <c r="CD29" s="230">
        <f>'расчет цен и скидок'!CD29</f>
        <v>0</v>
      </c>
      <c r="CE29" s="230">
        <f>'расчет цен и скидок'!CE29</f>
        <v>0</v>
      </c>
      <c r="CF29" s="230">
        <f>'расчет цен и скидок'!CF29</f>
        <v>0</v>
      </c>
      <c r="CG29" s="230">
        <f>'расчет цен и скидок'!CG29</f>
        <v>0</v>
      </c>
      <c r="CH29" s="230">
        <f>'расчет цен и скидок'!CH29</f>
        <v>0</v>
      </c>
      <c r="CI29" s="230">
        <f>'расчет цен и скидок'!CI29</f>
        <v>0</v>
      </c>
      <c r="CJ29" s="230">
        <f>'расчет цен и скидок'!CJ29</f>
        <v>0</v>
      </c>
      <c r="CK29" s="230">
        <f>'расчет цен и скидок'!CK29</f>
        <v>0</v>
      </c>
      <c r="CL29" s="230">
        <f>'расчет цен и скидок'!CL29</f>
        <v>0</v>
      </c>
      <c r="CM29" s="230">
        <f>'расчет цен и скидок'!CM29</f>
        <v>0</v>
      </c>
      <c r="CN29" s="230">
        <f>'расчет цен и скидок'!CN29</f>
        <v>0</v>
      </c>
    </row>
    <row r="30" spans="1:92" ht="15.75">
      <c r="A30" s="279" t="str">
        <f>'расчет цен и скидок'!A30</f>
        <v>ПШБМ 5, 4</v>
      </c>
      <c r="B30" s="308" t="str">
        <f>'расчет цен и скидок'!B30</f>
        <v>в МКР (без стоимости МКР)</v>
      </c>
      <c r="C30" s="219">
        <f>'расчет цен и скидок'!C30</f>
        <v>0</v>
      </c>
      <c r="D30" s="219">
        <f>'расчет цен и скидок'!D30</f>
        <v>0</v>
      </c>
      <c r="E30" s="219">
        <f>'расчет цен и скидок'!E30</f>
        <v>0</v>
      </c>
      <c r="F30" s="219">
        <f>'расчет цен и скидок'!F30</f>
        <v>0</v>
      </c>
      <c r="G30" s="219">
        <f>'расчет цен и скидок'!G30</f>
        <v>0</v>
      </c>
      <c r="H30" s="219">
        <f>'расчет цен и скидок'!H30</f>
        <v>0</v>
      </c>
      <c r="I30" s="219">
        <f>'расчет цен и скидок'!I30</f>
        <v>0</v>
      </c>
      <c r="J30" s="219">
        <f>'расчет цен и скидок'!J30</f>
        <v>0</v>
      </c>
      <c r="K30" s="220">
        <f>'расчет цен и скидок'!K30</f>
        <v>3200</v>
      </c>
      <c r="L30" s="220">
        <f>'расчет цен и скидок'!L30</f>
        <v>3776</v>
      </c>
      <c r="M30" s="220">
        <f>'расчет цен и скидок'!M30</f>
        <v>0</v>
      </c>
      <c r="N30" s="221">
        <f>'расчет цен и скидок'!N30</f>
        <v>3200</v>
      </c>
      <c r="O30" s="221">
        <f>'расчет цен и скидок'!O30</f>
        <v>3776</v>
      </c>
      <c r="P30" s="232">
        <f>'расчет цен и скидок'!P30</f>
        <v>2600</v>
      </c>
      <c r="Q30" s="233">
        <f>'расчет цен и скидок'!Q30</f>
        <v>468</v>
      </c>
      <c r="R30" s="234">
        <f>'расчет цен и скидок'!R30</f>
        <v>3068</v>
      </c>
      <c r="S30" s="223">
        <f>'расчет цен и скидок'!S30</f>
        <v>0</v>
      </c>
      <c r="T30" s="224">
        <f>'расчет цен и скидок'!T30</f>
        <v>-0.1875</v>
      </c>
      <c r="U30" s="288">
        <f>'расчет цен и скидок'!U30</f>
        <v>0.03</v>
      </c>
      <c r="V30" s="289">
        <f>'расчет цен и скидок'!V30</f>
        <v>2522</v>
      </c>
      <c r="W30" s="289">
        <f>'расчет цен и скидок'!W30</f>
        <v>2522</v>
      </c>
      <c r="X30" s="289">
        <f>'расчет цен и скидок'!X30</f>
        <v>2975.96</v>
      </c>
      <c r="Y30" s="314">
        <f>'расчет цен и скидок'!Y30</f>
        <v>0</v>
      </c>
      <c r="Z30" s="311">
        <f>'расчет цен и скидок'!Z30</f>
        <v>0.08</v>
      </c>
      <c r="AA30" s="302">
        <f>'расчет цен и скидок'!AA30</f>
        <v>2392</v>
      </c>
      <c r="AB30" s="302">
        <f>'расчет цен и скидок'!AB30</f>
        <v>2822.56</v>
      </c>
      <c r="AC30" s="227">
        <f>'расчет цен и скидок'!AC30</f>
        <v>0</v>
      </c>
      <c r="AD30" s="228">
        <f>'расчет цен и скидок'!AD30</f>
        <v>0</v>
      </c>
      <c r="AE30" s="228">
        <f>'расчет цен и скидок'!AE30</f>
        <v>0</v>
      </c>
      <c r="AF30" s="228">
        <f>'расчет цен и скидок'!AF30</f>
        <v>0</v>
      </c>
      <c r="AG30" s="228">
        <f>'расчет цен и скидок'!AG30</f>
        <v>0</v>
      </c>
      <c r="AH30" s="228">
        <f>'расчет цен и скидок'!AH30</f>
        <v>0</v>
      </c>
      <c r="AI30" s="228">
        <f>'расчет цен и скидок'!AI30</f>
        <v>0</v>
      </c>
      <c r="AJ30" s="229" t="e">
        <f>'расчет цен и скидок'!AJ30</f>
        <v>#DIV/0!</v>
      </c>
      <c r="AK30" s="227">
        <f>'расчет цен и скидок'!AK30</f>
        <v>0</v>
      </c>
      <c r="AL30" s="228">
        <f>'расчет цен и скидок'!AL30</f>
        <v>0</v>
      </c>
      <c r="AM30" s="228">
        <f>'расчет цен и скидок'!AM30</f>
        <v>0</v>
      </c>
      <c r="AN30" s="228">
        <f>'расчет цен и скидок'!AN30</f>
        <v>0</v>
      </c>
      <c r="AO30" s="227">
        <f>'расчет цен и скидок'!AO30</f>
        <v>0</v>
      </c>
      <c r="AP30" s="228">
        <f>'расчет цен и скидок'!AP30</f>
        <v>0</v>
      </c>
      <c r="AQ30" s="228">
        <f>'расчет цен и скидок'!AQ30</f>
        <v>0</v>
      </c>
      <c r="AR30" s="228">
        <f>'расчет цен и скидок'!AR30</f>
        <v>0</v>
      </c>
      <c r="AS30" s="227">
        <f>'расчет цен и скидок'!AS30</f>
        <v>0</v>
      </c>
      <c r="AT30" s="228">
        <f>'расчет цен и скидок'!AT30</f>
        <v>0</v>
      </c>
      <c r="AU30" s="228">
        <f>'расчет цен и скидок'!AU30</f>
        <v>0</v>
      </c>
      <c r="AV30" s="228">
        <f>'расчет цен и скидок'!AV30</f>
        <v>0</v>
      </c>
      <c r="AW30" s="227">
        <f>'расчет цен и скидок'!AW30</f>
        <v>0</v>
      </c>
      <c r="AX30" s="228">
        <f>'расчет цен и скидок'!AX30</f>
        <v>0</v>
      </c>
      <c r="AY30" s="230">
        <f>'расчет цен и скидок'!AY30</f>
        <v>0</v>
      </c>
      <c r="AZ30" s="227">
        <f>'расчет цен и скидок'!AZ30</f>
        <v>0</v>
      </c>
      <c r="BA30" s="228">
        <f>'расчет цен и скидок'!BA30</f>
        <v>0</v>
      </c>
      <c r="BB30" s="230">
        <f>'расчет цен и скидок'!BB30</f>
        <v>0</v>
      </c>
      <c r="BC30" s="227">
        <f>'расчет цен и скидок'!BC30</f>
        <v>0</v>
      </c>
      <c r="BD30" s="230">
        <f>'расчет цен и скидок'!BD30</f>
        <v>0</v>
      </c>
      <c r="BE30" s="230">
        <f>'расчет цен и скидок'!BE30</f>
        <v>0</v>
      </c>
      <c r="BF30" s="218">
        <f>'расчет цен и скидок'!BF30</f>
        <v>0</v>
      </c>
      <c r="BG30" s="228">
        <f>'расчет цен и скидок'!BG30</f>
        <v>0</v>
      </c>
      <c r="BH30" s="230">
        <f>'расчет цен и скидок'!BH30</f>
        <v>0</v>
      </c>
      <c r="BI30" s="227">
        <f>'расчет цен и скидок'!BI30</f>
        <v>0</v>
      </c>
      <c r="BJ30" s="228">
        <f>'расчет цен и скидок'!BJ30</f>
        <v>0</v>
      </c>
      <c r="BK30" s="230">
        <f>'расчет цен и скидок'!BK30</f>
        <v>0</v>
      </c>
      <c r="BL30" s="230">
        <f>'расчет цен и скидок'!BL30</f>
        <v>0</v>
      </c>
      <c r="BM30" s="230">
        <f>'расчет цен и скидок'!BM30</f>
        <v>0</v>
      </c>
      <c r="BN30" s="230">
        <f>'расчет цен и скидок'!BN30</f>
        <v>0</v>
      </c>
      <c r="BO30" s="230">
        <f>'расчет цен и скидок'!BO30</f>
        <v>0</v>
      </c>
      <c r="BP30" s="230">
        <f>'расчет цен и скидок'!BP30</f>
        <v>0</v>
      </c>
      <c r="BQ30" s="230">
        <f>'расчет цен и скидок'!BQ30</f>
        <v>0</v>
      </c>
      <c r="BR30" s="230">
        <f>'расчет цен и скидок'!BR30</f>
        <v>0</v>
      </c>
      <c r="BS30" s="230">
        <f>'расчет цен и скидок'!BS30</f>
        <v>0</v>
      </c>
      <c r="BT30" s="230">
        <f>'расчет цен и скидок'!BT30</f>
        <v>0</v>
      </c>
      <c r="BU30" s="230">
        <f>'расчет цен и скидок'!BU30</f>
        <v>0</v>
      </c>
      <c r="BV30" s="230">
        <f>'расчет цен и скидок'!BV30</f>
        <v>0</v>
      </c>
      <c r="BW30" s="230">
        <f>'расчет цен и скидок'!BW30</f>
        <v>0</v>
      </c>
      <c r="BX30" s="230">
        <f>'расчет цен и скидок'!BX30</f>
        <v>0</v>
      </c>
      <c r="BY30" s="230">
        <f>'расчет цен и скидок'!BY30</f>
        <v>0</v>
      </c>
      <c r="BZ30" s="230">
        <f>'расчет цен и скидок'!BZ30</f>
        <v>0</v>
      </c>
      <c r="CA30" s="230">
        <f>'расчет цен и скидок'!CA30</f>
        <v>0</v>
      </c>
      <c r="CB30" s="230">
        <f>'расчет цен и скидок'!CB30</f>
        <v>0</v>
      </c>
      <c r="CC30" s="230">
        <f>'расчет цен и скидок'!CC30</f>
        <v>0</v>
      </c>
      <c r="CD30" s="230">
        <f>'расчет цен и скидок'!CD30</f>
        <v>0</v>
      </c>
      <c r="CE30" s="230">
        <f>'расчет цен и скидок'!CE30</f>
        <v>0</v>
      </c>
      <c r="CF30" s="230">
        <f>'расчет цен и скидок'!CF30</f>
        <v>0</v>
      </c>
      <c r="CG30" s="230">
        <f>'расчет цен и скидок'!CG30</f>
        <v>0</v>
      </c>
      <c r="CH30" s="230">
        <f>'расчет цен и скидок'!CH30</f>
        <v>0</v>
      </c>
      <c r="CI30" s="230">
        <f>'расчет цен и скидок'!CI30</f>
        <v>0</v>
      </c>
      <c r="CJ30" s="230">
        <f>'расчет цен и скидок'!CJ30</f>
        <v>0</v>
      </c>
      <c r="CK30" s="230">
        <f>'расчет цен и скидок'!CK30</f>
        <v>0</v>
      </c>
      <c r="CL30" s="230">
        <f>'расчет цен и скидок'!CL30</f>
        <v>0</v>
      </c>
      <c r="CM30" s="230">
        <f>'расчет цен и скидок'!CM30</f>
        <v>0</v>
      </c>
      <c r="CN30" s="230">
        <f>'расчет цен и скидок'!CN30</f>
        <v>0</v>
      </c>
    </row>
    <row r="31" spans="1:92" ht="15.75">
      <c r="A31" s="279" t="str">
        <f>'расчет цен и скидок'!A31</f>
        <v>ПШБМ 5, 4</v>
      </c>
      <c r="B31" s="308" t="str">
        <f>'расчет цен и скидок'!B31</f>
        <v>с учетом стоимости МКР (с вкладышем)</v>
      </c>
      <c r="C31" s="219">
        <f>'расчет цен и скидок'!C31</f>
        <v>0</v>
      </c>
      <c r="D31" s="219">
        <f>'расчет цен и скидок'!D31</f>
        <v>0</v>
      </c>
      <c r="E31" s="219">
        <f>'расчет цен и скидок'!E31</f>
        <v>0</v>
      </c>
      <c r="F31" s="219">
        <f>'расчет цен и скидок'!F31</f>
        <v>0</v>
      </c>
      <c r="G31" s="219">
        <f>'расчет цен и скидок'!G31</f>
        <v>0</v>
      </c>
      <c r="H31" s="219">
        <f>'расчет цен и скидок'!H31</f>
        <v>0</v>
      </c>
      <c r="I31" s="219">
        <f>'расчет цен и скидок'!I31</f>
        <v>0</v>
      </c>
      <c r="J31" s="219">
        <f>'расчет цен и скидок'!J31</f>
        <v>0</v>
      </c>
      <c r="K31" s="220">
        <f>'расчет цен и скидок'!K31</f>
        <v>3435</v>
      </c>
      <c r="L31" s="220">
        <f>'расчет цен и скидок'!L31</f>
        <v>4053</v>
      </c>
      <c r="M31" s="220">
        <f>'расчет цен и скидок'!M31</f>
        <v>0</v>
      </c>
      <c r="N31" s="221">
        <f>'расчет цен и скидок'!N31</f>
        <v>3435</v>
      </c>
      <c r="O31" s="221">
        <f>'расчет цен и скидок'!O31</f>
        <v>4053.2999999999997</v>
      </c>
      <c r="P31" s="232">
        <f>'расчет цен и скидок'!P31</f>
        <v>2800</v>
      </c>
      <c r="Q31" s="233">
        <f>'расчет цен и скидок'!Q31</f>
        <v>504</v>
      </c>
      <c r="R31" s="233">
        <f>'расчет цен и скидок'!R31</f>
        <v>3304</v>
      </c>
      <c r="S31" s="223">
        <f>'расчет цен и скидок'!S31</f>
        <v>0</v>
      </c>
      <c r="T31" s="224">
        <f>'расчет цен и скидок'!T31</f>
        <v>-0.1848013816925734</v>
      </c>
      <c r="U31" s="291">
        <f>'расчет цен и скидок'!U31</f>
        <v>0.03</v>
      </c>
      <c r="V31" s="292">
        <f>'расчет цен и скидок'!V31</f>
        <v>2716</v>
      </c>
      <c r="W31" s="292">
        <f>'расчет цен и скидок'!W31</f>
        <v>2716</v>
      </c>
      <c r="X31" s="292">
        <f>'расчет цен и скидок'!X31</f>
        <v>3204.8799999999997</v>
      </c>
      <c r="Y31" s="314">
        <f>'расчет цен и скидок'!Y31</f>
        <v>0</v>
      </c>
      <c r="Z31" s="311">
        <f>'расчет цен и скидок'!Z31</f>
        <v>0.08</v>
      </c>
      <c r="AA31" s="302">
        <f>'расчет цен и скидок'!AA31</f>
        <v>2576</v>
      </c>
      <c r="AB31" s="302">
        <f>'расчет цен и скидок'!AB31</f>
        <v>3039.68</v>
      </c>
      <c r="AC31" s="227">
        <f>'расчет цен и скидок'!AC31</f>
        <v>0</v>
      </c>
      <c r="AD31" s="228">
        <f>'расчет цен и скидок'!AD31</f>
        <v>0</v>
      </c>
      <c r="AE31" s="228">
        <f>'расчет цен и скидок'!AE31</f>
        <v>0</v>
      </c>
      <c r="AF31" s="228">
        <f>'расчет цен и скидок'!AF31</f>
        <v>0</v>
      </c>
      <c r="AG31" s="228">
        <f>'расчет цен и скидок'!AG31</f>
        <v>0</v>
      </c>
      <c r="AH31" s="228">
        <f>'расчет цен и скидок'!AH31</f>
        <v>0</v>
      </c>
      <c r="AI31" s="228">
        <f>'расчет цен и скидок'!AI31</f>
        <v>0</v>
      </c>
      <c r="AJ31" s="229" t="e">
        <f>'расчет цен и скидок'!AJ31</f>
        <v>#DIV/0!</v>
      </c>
      <c r="AK31" s="227">
        <f>'расчет цен и скидок'!AK31</f>
        <v>0</v>
      </c>
      <c r="AL31" s="228">
        <f>'расчет цен и скидок'!AL31</f>
        <v>0</v>
      </c>
      <c r="AM31" s="228">
        <f>'расчет цен и скидок'!AM31</f>
        <v>0</v>
      </c>
      <c r="AN31" s="228">
        <f>'расчет цен и скидок'!AN31</f>
        <v>0</v>
      </c>
      <c r="AO31" s="227">
        <f>'расчет цен и скидок'!AO31</f>
        <v>0</v>
      </c>
      <c r="AP31" s="228">
        <f>'расчет цен и скидок'!AP31</f>
        <v>0</v>
      </c>
      <c r="AQ31" s="228">
        <f>'расчет цен и скидок'!AQ31</f>
        <v>0</v>
      </c>
      <c r="AR31" s="228">
        <f>'расчет цен и скидок'!AR31</f>
        <v>0</v>
      </c>
      <c r="AS31" s="227">
        <f>'расчет цен и скидок'!AS31</f>
        <v>0</v>
      </c>
      <c r="AT31" s="228">
        <f>'расчет цен и скидок'!AT31</f>
        <v>0</v>
      </c>
      <c r="AU31" s="228">
        <f>'расчет цен и скидок'!AU31</f>
        <v>0</v>
      </c>
      <c r="AV31" s="228">
        <f>'расчет цен и скидок'!AV31</f>
        <v>0</v>
      </c>
      <c r="AW31" s="227">
        <f>'расчет цен и скидок'!AW31</f>
        <v>0</v>
      </c>
      <c r="AX31" s="228">
        <f>'расчет цен и скидок'!AX31</f>
        <v>0</v>
      </c>
      <c r="AY31" s="230">
        <f>'расчет цен и скидок'!AY31</f>
        <v>0</v>
      </c>
      <c r="AZ31" s="227">
        <f>'расчет цен и скидок'!AZ31</f>
        <v>0</v>
      </c>
      <c r="BA31" s="228">
        <f>'расчет цен и скидок'!BA31</f>
        <v>0</v>
      </c>
      <c r="BB31" s="230">
        <f>'расчет цен и скидок'!BB31</f>
        <v>0</v>
      </c>
      <c r="BC31" s="227">
        <f>'расчет цен и скидок'!BC31</f>
        <v>0</v>
      </c>
      <c r="BD31" s="230">
        <f>'расчет цен и скидок'!BD31</f>
        <v>0</v>
      </c>
      <c r="BE31" s="230">
        <f>'расчет цен и скидок'!BE31</f>
        <v>0</v>
      </c>
      <c r="BF31" s="218">
        <f>'расчет цен и скидок'!BF31</f>
        <v>0</v>
      </c>
      <c r="BG31" s="228">
        <f>'расчет цен и скидок'!BG31</f>
        <v>0</v>
      </c>
      <c r="BH31" s="230">
        <f>'расчет цен и скидок'!BH31</f>
        <v>0</v>
      </c>
      <c r="BI31" s="227">
        <f>'расчет цен и скидок'!BI31</f>
        <v>0</v>
      </c>
      <c r="BJ31" s="228">
        <f>'расчет цен и скидок'!BJ31</f>
        <v>0</v>
      </c>
      <c r="BK31" s="230">
        <f>'расчет цен и скидок'!BK31</f>
        <v>0</v>
      </c>
      <c r="BL31" s="230">
        <f>'расчет цен и скидок'!BL31</f>
        <v>0</v>
      </c>
      <c r="BM31" s="230">
        <f>'расчет цен и скидок'!BM31</f>
        <v>0</v>
      </c>
      <c r="BN31" s="230">
        <f>'расчет цен и скидок'!BN31</f>
        <v>0</v>
      </c>
      <c r="BO31" s="230">
        <f>'расчет цен и скидок'!BO31</f>
        <v>0</v>
      </c>
      <c r="BP31" s="230">
        <f>'расчет цен и скидок'!BP31</f>
        <v>0</v>
      </c>
      <c r="BQ31" s="230">
        <f>'расчет цен и скидок'!BQ31</f>
        <v>0</v>
      </c>
      <c r="BR31" s="230">
        <f>'расчет цен и скидок'!BR31</f>
        <v>0</v>
      </c>
      <c r="BS31" s="230">
        <f>'расчет цен и скидок'!BS31</f>
        <v>0</v>
      </c>
      <c r="BT31" s="230">
        <f>'расчет цен и скидок'!BT31</f>
        <v>0</v>
      </c>
      <c r="BU31" s="230">
        <f>'расчет цен и скидок'!BU31</f>
        <v>0</v>
      </c>
      <c r="BV31" s="230">
        <f>'расчет цен и скидок'!BV31</f>
        <v>0</v>
      </c>
      <c r="BW31" s="230">
        <f>'расчет цен и скидок'!BW31</f>
        <v>0</v>
      </c>
      <c r="BX31" s="230">
        <f>'расчет цен и скидок'!BX31</f>
        <v>0</v>
      </c>
      <c r="BY31" s="230">
        <f>'расчет цен и скидок'!BY31</f>
        <v>0</v>
      </c>
      <c r="BZ31" s="230">
        <f>'расчет цен и скидок'!BZ31</f>
        <v>0</v>
      </c>
      <c r="CA31" s="230">
        <f>'расчет цен и скидок'!CA31</f>
        <v>0</v>
      </c>
      <c r="CB31" s="230">
        <f>'расчет цен и скидок'!CB31</f>
        <v>0</v>
      </c>
      <c r="CC31" s="230">
        <f>'расчет цен и скидок'!CC31</f>
        <v>0</v>
      </c>
      <c r="CD31" s="230">
        <f>'расчет цен и скидок'!CD31</f>
        <v>0</v>
      </c>
      <c r="CE31" s="230">
        <f>'расчет цен и скидок'!CE31</f>
        <v>0</v>
      </c>
      <c r="CF31" s="230">
        <f>'расчет цен и скидок'!CF31</f>
        <v>0</v>
      </c>
      <c r="CG31" s="230">
        <f>'расчет цен и скидок'!CG31</f>
        <v>0</v>
      </c>
      <c r="CH31" s="230">
        <f>'расчет цен и скидок'!CH31</f>
        <v>0</v>
      </c>
      <c r="CI31" s="230">
        <f>'расчет цен и скидок'!CI31</f>
        <v>0</v>
      </c>
      <c r="CJ31" s="230">
        <f>'расчет цен и скидок'!CJ31</f>
        <v>0</v>
      </c>
      <c r="CK31" s="230">
        <f>'расчет цен и скидок'!CK31</f>
        <v>0</v>
      </c>
      <c r="CL31" s="230">
        <f>'расчет цен и скидок'!CL31</f>
        <v>0</v>
      </c>
      <c r="CM31" s="230">
        <f>'расчет цен и скидок'!CM31</f>
        <v>0</v>
      </c>
      <c r="CN31" s="230">
        <f>'расчет цен и скидок'!CN31</f>
        <v>0</v>
      </c>
    </row>
    <row r="32" spans="1:92" ht="15.75">
      <c r="A32" s="279" t="str">
        <f>'расчет цен и скидок'!A32</f>
        <v>ПШБМ 5, 4</v>
      </c>
      <c r="B32" s="308" t="str">
        <f>'расчет цен и скидок'!B32</f>
        <v>навалом</v>
      </c>
      <c r="C32" s="219">
        <f>'расчет цен и скидок'!C32</f>
        <v>0</v>
      </c>
      <c r="D32" s="219">
        <f>'расчет цен и скидок'!D32</f>
        <v>0</v>
      </c>
      <c r="E32" s="219">
        <f>'расчет цен и скидок'!E32</f>
        <v>0</v>
      </c>
      <c r="F32" s="219">
        <f>'расчет цен и скидок'!F32</f>
        <v>0</v>
      </c>
      <c r="G32" s="219">
        <f>'расчет цен и скидок'!G32</f>
        <v>0</v>
      </c>
      <c r="H32" s="219">
        <f>'расчет цен и скидок'!H32</f>
        <v>0</v>
      </c>
      <c r="I32" s="219">
        <f>'расчет цен и скидок'!I32</f>
        <v>0</v>
      </c>
      <c r="J32" s="219">
        <f>'расчет цен и скидок'!J32</f>
        <v>0</v>
      </c>
      <c r="K32" s="220">
        <f>'расчет цен и скидок'!K32</f>
        <v>3200</v>
      </c>
      <c r="L32" s="220">
        <f>'расчет цен и скидок'!L32</f>
        <v>3776</v>
      </c>
      <c r="M32" s="220">
        <f>'расчет цен и скидок'!M32</f>
        <v>0</v>
      </c>
      <c r="N32" s="221">
        <f>'расчет цен и скидок'!N32</f>
        <v>3200</v>
      </c>
      <c r="O32" s="221">
        <f>'расчет цен и скидок'!O32</f>
        <v>3776</v>
      </c>
      <c r="P32" s="232">
        <f>'расчет цен и скидок'!P32</f>
        <v>2500</v>
      </c>
      <c r="Q32" s="233">
        <f>'расчет цен и скидок'!Q32</f>
        <v>450</v>
      </c>
      <c r="R32" s="234">
        <f>'расчет цен и скидок'!R32</f>
        <v>2950</v>
      </c>
      <c r="S32" s="223">
        <f>'расчет цен и скидок'!S32</f>
        <v>0</v>
      </c>
      <c r="T32" s="224">
        <f>'расчет цен и скидок'!T32</f>
        <v>-0.21875</v>
      </c>
      <c r="U32" s="291">
        <f>'расчет цен и скидок'!U32</f>
        <v>0.03</v>
      </c>
      <c r="V32" s="292">
        <f>'расчет цен и скидок'!V32</f>
        <v>2425</v>
      </c>
      <c r="W32" s="292">
        <f>'расчет цен и скидок'!W32</f>
        <v>2425</v>
      </c>
      <c r="X32" s="292">
        <f>'расчет цен и скидок'!X32</f>
        <v>2861.5</v>
      </c>
      <c r="Y32" s="314">
        <f>'расчет цен и скидок'!Y32</f>
        <v>0</v>
      </c>
      <c r="Z32" s="311">
        <f>'расчет цен и скидок'!Z32</f>
        <v>0.08</v>
      </c>
      <c r="AA32" s="302">
        <f>'расчет цен и скидок'!AA32</f>
        <v>2300</v>
      </c>
      <c r="AB32" s="302">
        <f>'расчет цен и скидок'!AB32</f>
        <v>2714</v>
      </c>
      <c r="AC32" s="227">
        <f>'расчет цен и скидок'!AC32</f>
        <v>0</v>
      </c>
      <c r="AD32" s="228">
        <f>'расчет цен и скидок'!AD32</f>
        <v>0</v>
      </c>
      <c r="AE32" s="228">
        <f>'расчет цен и скидок'!AE32</f>
        <v>0</v>
      </c>
      <c r="AF32" s="228">
        <f>'расчет цен и скидок'!AF32</f>
        <v>0</v>
      </c>
      <c r="AG32" s="228">
        <f>'расчет цен и скидок'!AG32</f>
        <v>0</v>
      </c>
      <c r="AH32" s="228">
        <f>'расчет цен и скидок'!AH32</f>
        <v>0</v>
      </c>
      <c r="AI32" s="228">
        <f>'расчет цен и скидок'!AI32</f>
        <v>0</v>
      </c>
      <c r="AJ32" s="229" t="e">
        <f>'расчет цен и скидок'!AJ32</f>
        <v>#DIV/0!</v>
      </c>
      <c r="AK32" s="227">
        <f>'расчет цен и скидок'!AK32</f>
        <v>0</v>
      </c>
      <c r="AL32" s="228">
        <f>'расчет цен и скидок'!AL32</f>
        <v>0</v>
      </c>
      <c r="AM32" s="228">
        <f>'расчет цен и скидок'!AM32</f>
        <v>0</v>
      </c>
      <c r="AN32" s="228">
        <f>'расчет цен и скидок'!AN32</f>
        <v>0</v>
      </c>
      <c r="AO32" s="227">
        <f>'расчет цен и скидок'!AO32</f>
        <v>0</v>
      </c>
      <c r="AP32" s="228">
        <f>'расчет цен и скидок'!AP32</f>
        <v>0</v>
      </c>
      <c r="AQ32" s="228">
        <f>'расчет цен и скидок'!AQ32</f>
        <v>0</v>
      </c>
      <c r="AR32" s="228">
        <f>'расчет цен и скидок'!AR32</f>
        <v>0</v>
      </c>
      <c r="AS32" s="227">
        <f>'расчет цен и скидок'!AS32</f>
        <v>0</v>
      </c>
      <c r="AT32" s="228">
        <f>'расчет цен и скидок'!AT32</f>
        <v>0</v>
      </c>
      <c r="AU32" s="228">
        <f>'расчет цен и скидок'!AU32</f>
        <v>0</v>
      </c>
      <c r="AV32" s="228">
        <f>'расчет цен и скидок'!AV32</f>
        <v>0</v>
      </c>
      <c r="AW32" s="227">
        <f>'расчет цен и скидок'!AW32</f>
        <v>0</v>
      </c>
      <c r="AX32" s="228">
        <f>'расчет цен и скидок'!AX32</f>
        <v>0</v>
      </c>
      <c r="AY32" s="230">
        <f>'расчет цен и скидок'!AY32</f>
        <v>0</v>
      </c>
      <c r="AZ32" s="227">
        <f>'расчет цен и скидок'!AZ32</f>
        <v>0</v>
      </c>
      <c r="BA32" s="228">
        <f>'расчет цен и скидок'!BA32</f>
        <v>0</v>
      </c>
      <c r="BB32" s="230">
        <f>'расчет цен и скидок'!BB32</f>
        <v>0</v>
      </c>
      <c r="BC32" s="227">
        <f>'расчет цен и скидок'!BC32</f>
        <v>0</v>
      </c>
      <c r="BD32" s="230">
        <f>'расчет цен и скидок'!BD32</f>
        <v>0</v>
      </c>
      <c r="BE32" s="230">
        <f>'расчет цен и скидок'!BE32</f>
        <v>0</v>
      </c>
      <c r="BF32" s="218">
        <f>'расчет цен и скидок'!BF32</f>
        <v>0</v>
      </c>
      <c r="BG32" s="228">
        <f>'расчет цен и скидок'!BG32</f>
        <v>0</v>
      </c>
      <c r="BH32" s="230">
        <f>'расчет цен и скидок'!BH32</f>
        <v>0</v>
      </c>
      <c r="BI32" s="227">
        <f>'расчет цен и скидок'!BI32</f>
        <v>0</v>
      </c>
      <c r="BJ32" s="228">
        <f>'расчет цен и скидок'!BJ32</f>
        <v>0</v>
      </c>
      <c r="BK32" s="230">
        <f>'расчет цен и скидок'!BK32</f>
        <v>0</v>
      </c>
      <c r="BL32" s="230">
        <f>'расчет цен и скидок'!BL32</f>
        <v>0</v>
      </c>
      <c r="BM32" s="230">
        <f>'расчет цен и скидок'!BM32</f>
        <v>0</v>
      </c>
      <c r="BN32" s="230">
        <f>'расчет цен и скидок'!BN32</f>
        <v>0</v>
      </c>
      <c r="BO32" s="230">
        <f>'расчет цен и скидок'!BO32</f>
        <v>0</v>
      </c>
      <c r="BP32" s="230">
        <f>'расчет цен и скидок'!BP32</f>
        <v>0</v>
      </c>
      <c r="BQ32" s="230">
        <f>'расчет цен и скидок'!BQ32</f>
        <v>0</v>
      </c>
      <c r="BR32" s="230">
        <f>'расчет цен и скидок'!BR32</f>
        <v>0</v>
      </c>
      <c r="BS32" s="230">
        <f>'расчет цен и скидок'!BS32</f>
        <v>0</v>
      </c>
      <c r="BT32" s="230">
        <f>'расчет цен и скидок'!BT32</f>
        <v>0</v>
      </c>
      <c r="BU32" s="230">
        <f>'расчет цен и скидок'!BU32</f>
        <v>0</v>
      </c>
      <c r="BV32" s="230">
        <f>'расчет цен и скидок'!BV32</f>
        <v>0</v>
      </c>
      <c r="BW32" s="230">
        <f>'расчет цен и скидок'!BW32</f>
        <v>0</v>
      </c>
      <c r="BX32" s="230">
        <f>'расчет цен и скидок'!BX32</f>
        <v>0</v>
      </c>
      <c r="BY32" s="230">
        <f>'расчет цен и скидок'!BY32</f>
        <v>0</v>
      </c>
      <c r="BZ32" s="230">
        <f>'расчет цен и скидок'!BZ32</f>
        <v>0</v>
      </c>
      <c r="CA32" s="230">
        <f>'расчет цен и скидок'!CA32</f>
        <v>0</v>
      </c>
      <c r="CB32" s="230">
        <f>'расчет цен и скидок'!CB32</f>
        <v>0</v>
      </c>
      <c r="CC32" s="230">
        <f>'расчет цен и скидок'!CC32</f>
        <v>0</v>
      </c>
      <c r="CD32" s="230">
        <f>'расчет цен и скидок'!CD32</f>
        <v>0</v>
      </c>
      <c r="CE32" s="230">
        <f>'расчет цен и скидок'!CE32</f>
        <v>0</v>
      </c>
      <c r="CF32" s="230">
        <f>'расчет цен и скидок'!CF32</f>
        <v>0</v>
      </c>
      <c r="CG32" s="230">
        <f>'расчет цен и скидок'!CG32</f>
        <v>0</v>
      </c>
      <c r="CH32" s="230">
        <f>'расчет цен и скидок'!CH32</f>
        <v>0</v>
      </c>
      <c r="CI32" s="230">
        <f>'расчет цен и скидок'!CI32</f>
        <v>0</v>
      </c>
      <c r="CJ32" s="230">
        <f>'расчет цен и скидок'!CJ32</f>
        <v>0</v>
      </c>
      <c r="CK32" s="230">
        <f>'расчет цен и скидок'!CK32</f>
        <v>0</v>
      </c>
      <c r="CL32" s="230">
        <f>'расчет цен и скидок'!CL32</f>
        <v>0</v>
      </c>
      <c r="CM32" s="230">
        <f>'расчет цен и скидок'!CM32</f>
        <v>0</v>
      </c>
      <c r="CN32" s="230">
        <f>'расчет цен и скидок'!CN32</f>
        <v>0</v>
      </c>
    </row>
    <row r="33" spans="2:92" ht="15.75">
      <c r="B33" s="308"/>
      <c r="C33" s="219">
        <f>'расчет цен и скидок'!C33</f>
        <v>0</v>
      </c>
      <c r="D33" s="219">
        <f>'расчет цен и скидок'!D33</f>
        <v>0</v>
      </c>
      <c r="E33" s="219">
        <f>'расчет цен и скидок'!E33</f>
        <v>0</v>
      </c>
      <c r="F33" s="219">
        <f>'расчет цен и скидок'!F33</f>
        <v>0</v>
      </c>
      <c r="G33" s="219">
        <f>'расчет цен и скидок'!G33</f>
        <v>0</v>
      </c>
      <c r="H33" s="219">
        <f>'расчет цен и скидок'!H33</f>
        <v>0</v>
      </c>
      <c r="I33" s="219">
        <f>'расчет цен и скидок'!I33</f>
        <v>0</v>
      </c>
      <c r="J33" s="219">
        <f>'расчет цен и скидок'!J33</f>
        <v>0</v>
      </c>
      <c r="K33" s="221">
        <f>'расчет цен и скидок'!K33</f>
        <v>0</v>
      </c>
      <c r="L33" s="221">
        <f>'расчет цен и скидок'!L33</f>
        <v>0</v>
      </c>
      <c r="M33" s="221">
        <f>'расчет цен и скидок'!M33</f>
        <v>0</v>
      </c>
      <c r="N33" s="221">
        <f>'расчет цен и скидок'!N33</f>
        <v>0</v>
      </c>
      <c r="O33" s="221">
        <f>'расчет цен и скидок'!O33</f>
        <v>0</v>
      </c>
      <c r="P33" s="232">
        <f>'расчет цен и скидок'!P33</f>
        <v>0</v>
      </c>
      <c r="Q33" s="233">
        <f>'расчет цен и скидок'!Q33</f>
        <v>0</v>
      </c>
      <c r="R33" s="234">
        <f>'расчет цен и скидок'!R33</f>
        <v>0</v>
      </c>
      <c r="S33" s="223">
        <f>'расчет цен и скидок'!S33</f>
        <v>0</v>
      </c>
      <c r="T33" s="224">
        <f>'расчет цен и скидок'!T33</f>
        <v>0</v>
      </c>
      <c r="U33" s="250"/>
      <c r="Z33" s="250"/>
      <c r="AC33" s="227">
        <f>'расчет цен и скидок'!AC33</f>
        <v>0</v>
      </c>
      <c r="AD33" s="228">
        <f>'расчет цен и скидок'!AD33</f>
        <v>0</v>
      </c>
      <c r="AE33" s="228">
        <f>'расчет цен и скидок'!AE33</f>
        <v>0</v>
      </c>
      <c r="AF33" s="228">
        <f>'расчет цен и скидок'!AF33</f>
        <v>0</v>
      </c>
      <c r="AG33" s="228">
        <f>'расчет цен и скидок'!AG33</f>
        <v>0</v>
      </c>
      <c r="AH33" s="228">
        <f>'расчет цен и скидок'!AH33</f>
        <v>0</v>
      </c>
      <c r="AI33" s="228">
        <f>'расчет цен и скидок'!AI33</f>
        <v>0</v>
      </c>
      <c r="AJ33" s="229" t="e">
        <f>'расчет цен и скидок'!AJ33</f>
        <v>#DIV/0!</v>
      </c>
      <c r="AK33" s="227">
        <f>'расчет цен и скидок'!AK33</f>
        <v>0</v>
      </c>
      <c r="AL33" s="228">
        <f>'расчет цен и скидок'!AL33</f>
        <v>0</v>
      </c>
      <c r="AM33" s="228">
        <f>'расчет цен и скидок'!AM33</f>
        <v>0</v>
      </c>
      <c r="AN33" s="228">
        <f>'расчет цен и скидок'!AN33</f>
        <v>0</v>
      </c>
      <c r="AO33" s="227">
        <f>'расчет цен и скидок'!AO33</f>
        <v>0</v>
      </c>
      <c r="AP33" s="228">
        <f>'расчет цен и скидок'!AP33</f>
        <v>0</v>
      </c>
      <c r="AQ33" s="228">
        <f>'расчет цен и скидок'!AQ33</f>
        <v>0</v>
      </c>
      <c r="AR33" s="228">
        <f>'расчет цен и скидок'!AR33</f>
        <v>0</v>
      </c>
      <c r="AS33" s="227">
        <f>'расчет цен и скидок'!AS33</f>
        <v>0</v>
      </c>
      <c r="AT33" s="228">
        <f>'расчет цен и скидок'!AT33</f>
        <v>0</v>
      </c>
      <c r="AU33" s="228">
        <f>'расчет цен и скидок'!AU33</f>
        <v>0</v>
      </c>
      <c r="AV33" s="228">
        <f>'расчет цен и скидок'!AV33</f>
        <v>0</v>
      </c>
      <c r="AW33" s="227">
        <f>'расчет цен и скидок'!AW33</f>
        <v>0</v>
      </c>
      <c r="AX33" s="228">
        <f>'расчет цен и скидок'!AX33</f>
        <v>0</v>
      </c>
      <c r="AY33" s="230">
        <f>'расчет цен и скидок'!AY33</f>
        <v>0</v>
      </c>
      <c r="AZ33" s="227">
        <f>'расчет цен и скидок'!AZ33</f>
        <v>0</v>
      </c>
      <c r="BA33" s="228">
        <f>'расчет цен и скидок'!BA33</f>
        <v>0</v>
      </c>
      <c r="BB33" s="230">
        <f>'расчет цен и скидок'!BB33</f>
        <v>0</v>
      </c>
      <c r="BC33" s="227">
        <f>'расчет цен и скидок'!BC33</f>
        <v>0</v>
      </c>
      <c r="BD33" s="230">
        <f>'расчет цен и скидок'!BD33</f>
        <v>0</v>
      </c>
      <c r="BE33" s="230">
        <f>'расчет цен и скидок'!BE33</f>
        <v>0</v>
      </c>
      <c r="BF33" s="218">
        <f>'расчет цен и скидок'!BF33</f>
        <v>0</v>
      </c>
      <c r="BG33" s="228">
        <f>'расчет цен и скидок'!BG33</f>
        <v>0</v>
      </c>
      <c r="BH33" s="230">
        <f>'расчет цен и скидок'!BH33</f>
        <v>0</v>
      </c>
      <c r="BI33" s="227">
        <f>'расчет цен и скидок'!BI33</f>
        <v>0</v>
      </c>
      <c r="BJ33" s="228">
        <f>'расчет цен и скидок'!BJ33</f>
        <v>0</v>
      </c>
      <c r="BK33" s="230">
        <f>'расчет цен и скидок'!BK33</f>
        <v>0</v>
      </c>
      <c r="BL33" s="230">
        <f>'расчет цен и скидок'!BL33</f>
        <v>0</v>
      </c>
      <c r="BM33" s="230">
        <f>'расчет цен и скидок'!BM33</f>
        <v>0</v>
      </c>
      <c r="BN33" s="230">
        <f>'расчет цен и скидок'!BN33</f>
        <v>0</v>
      </c>
      <c r="BO33" s="230">
        <f>'расчет цен и скидок'!BO33</f>
        <v>0</v>
      </c>
      <c r="BP33" s="230">
        <f>'расчет цен и скидок'!BP33</f>
        <v>0</v>
      </c>
      <c r="BQ33" s="230">
        <f>'расчет цен и скидок'!BQ33</f>
        <v>0</v>
      </c>
      <c r="BR33" s="230">
        <f>'расчет цен и скидок'!BR33</f>
        <v>0</v>
      </c>
      <c r="BS33" s="230">
        <f>'расчет цен и скидок'!BS33</f>
        <v>0</v>
      </c>
      <c r="BT33" s="230">
        <f>'расчет цен и скидок'!BT33</f>
        <v>0</v>
      </c>
      <c r="BU33" s="230">
        <f>'расчет цен и скидок'!BU33</f>
        <v>0</v>
      </c>
      <c r="BV33" s="230">
        <f>'расчет цен и скидок'!BV33</f>
        <v>0</v>
      </c>
      <c r="BW33" s="230">
        <f>'расчет цен и скидок'!BW33</f>
        <v>0</v>
      </c>
      <c r="BX33" s="230">
        <f>'расчет цен и скидок'!BX33</f>
        <v>0</v>
      </c>
      <c r="BY33" s="230">
        <f>'расчет цен и скидок'!BY33</f>
        <v>0</v>
      </c>
      <c r="BZ33" s="230">
        <f>'расчет цен и скидок'!BZ33</f>
        <v>0</v>
      </c>
      <c r="CA33" s="230">
        <f>'расчет цен и скидок'!CA33</f>
        <v>0</v>
      </c>
      <c r="CB33" s="230">
        <f>'расчет цен и скидок'!CB33</f>
        <v>0</v>
      </c>
      <c r="CC33" s="230">
        <f>'расчет цен и скидок'!CC33</f>
        <v>0</v>
      </c>
      <c r="CD33" s="230">
        <f>'расчет цен и скидок'!CD33</f>
        <v>0</v>
      </c>
      <c r="CE33" s="230">
        <f>'расчет цен и скидок'!CE33</f>
        <v>0</v>
      </c>
      <c r="CF33" s="230">
        <f>'расчет цен и скидок'!CF33</f>
        <v>0</v>
      </c>
      <c r="CG33" s="230">
        <f>'расчет цен и скидок'!CG33</f>
        <v>0</v>
      </c>
      <c r="CH33" s="230">
        <f>'расчет цен и скидок'!CH33</f>
        <v>0</v>
      </c>
      <c r="CI33" s="230">
        <f>'расчет цен и скидок'!CI33</f>
        <v>0</v>
      </c>
      <c r="CJ33" s="230">
        <f>'расчет цен и скидок'!CJ33</f>
        <v>0</v>
      </c>
      <c r="CK33" s="230">
        <f>'расчет цен и скидок'!CK33</f>
        <v>0</v>
      </c>
      <c r="CL33" s="230">
        <f>'расчет цен и скидок'!CL33</f>
        <v>0</v>
      </c>
      <c r="CM33" s="230">
        <f>'расчет цен и скидок'!CM33</f>
        <v>0</v>
      </c>
      <c r="CN33" s="230">
        <f>'расчет цен и скидок'!CN33</f>
        <v>0</v>
      </c>
    </row>
    <row r="34" spans="1:92" s="217" customFormat="1" ht="15.75">
      <c r="A34" s="279" t="str">
        <f>'расчет цен и скидок'!A34</f>
        <v>МКР (контейнер без вкладыша)</v>
      </c>
      <c r="B34" s="308"/>
      <c r="C34" s="219">
        <f>'расчет цен и скидок'!C34</f>
        <v>0</v>
      </c>
      <c r="D34" s="219">
        <f>'расчет цен и скидок'!D34</f>
        <v>0</v>
      </c>
      <c r="E34" s="219">
        <f>'расчет цен и скидок'!E34</f>
        <v>0</v>
      </c>
      <c r="F34" s="219">
        <f>'расчет цен и скидок'!F34</f>
        <v>0</v>
      </c>
      <c r="G34" s="219">
        <f>'расчет цен и скидок'!G34</f>
        <v>0</v>
      </c>
      <c r="H34" s="219">
        <f>'расчет цен и скидок'!H34</f>
        <v>0</v>
      </c>
      <c r="I34" s="219">
        <f>'расчет цен и скидок'!I34</f>
        <v>0</v>
      </c>
      <c r="J34" s="219">
        <f>'расчет цен и скидок'!J34</f>
        <v>0</v>
      </c>
      <c r="K34" s="231">
        <f>'расчет цен и скидок'!K34</f>
        <v>170</v>
      </c>
      <c r="L34" s="231">
        <f>'расчет цен и скидок'!L34</f>
        <v>200.6</v>
      </c>
      <c r="M34" s="231">
        <f>'расчет цен и скидок'!M34</f>
        <v>0</v>
      </c>
      <c r="N34" s="221">
        <f>'расчет цен и скидок'!N34</f>
        <v>170</v>
      </c>
      <c r="O34" s="221">
        <f>'расчет цен и скидок'!O34</f>
        <v>200.6</v>
      </c>
      <c r="P34" s="232">
        <f>'расчет цен и скидок'!P34</f>
        <v>0</v>
      </c>
      <c r="Q34" s="233">
        <f>'расчет цен и скидок'!Q34</f>
        <v>0</v>
      </c>
      <c r="R34" s="234">
        <f>'расчет цен и скидок'!R34</f>
        <v>0</v>
      </c>
      <c r="S34" s="223">
        <f>'расчет цен и скидок'!S34</f>
        <v>0</v>
      </c>
      <c r="T34" s="224">
        <f>'расчет цен и скидок'!T34</f>
        <v>-1</v>
      </c>
      <c r="U34" s="250"/>
      <c r="V34" s="221"/>
      <c r="W34" s="221"/>
      <c r="X34" s="221"/>
      <c r="Y34" s="225"/>
      <c r="Z34" s="250"/>
      <c r="AA34" s="221"/>
      <c r="AB34" s="221"/>
      <c r="AC34" s="227">
        <f>'расчет цен и скидок'!AC34</f>
        <v>0</v>
      </c>
      <c r="AD34" s="239">
        <f>'расчет цен и скидок'!AD34</f>
        <v>0</v>
      </c>
      <c r="AE34" s="239">
        <f>'расчет цен и скидок'!AE34</f>
        <v>0</v>
      </c>
      <c r="AF34" s="239">
        <f>'расчет цен и скидок'!AF34</f>
        <v>0</v>
      </c>
      <c r="AG34" s="239">
        <f>'расчет цен и скидок'!AG34</f>
        <v>0</v>
      </c>
      <c r="AH34" s="239">
        <f>'расчет цен и скидок'!AH34</f>
        <v>0</v>
      </c>
      <c r="AI34" s="239">
        <f>'расчет цен и скидок'!AI34</f>
        <v>0</v>
      </c>
      <c r="AJ34" s="229" t="e">
        <f>'расчет цен и скидок'!AJ34</f>
        <v>#DIV/0!</v>
      </c>
      <c r="AK34" s="227">
        <f>'расчет цен и скидок'!AK34</f>
        <v>0</v>
      </c>
      <c r="AL34" s="239">
        <f>'расчет цен и скидок'!AL34</f>
        <v>0</v>
      </c>
      <c r="AM34" s="239">
        <f>'расчет цен и скидок'!AM34</f>
        <v>0</v>
      </c>
      <c r="AN34" s="239">
        <f>'расчет цен и скидок'!AN34</f>
        <v>0</v>
      </c>
      <c r="AO34" s="227">
        <f>'расчет цен и скидок'!AO34</f>
        <v>0</v>
      </c>
      <c r="AP34" s="239">
        <f>'расчет цен и скидок'!AP34</f>
        <v>0</v>
      </c>
      <c r="AQ34" s="239">
        <f>'расчет цен и скидок'!AQ34</f>
        <v>0</v>
      </c>
      <c r="AR34" s="239">
        <f>'расчет цен и скидок'!AR34</f>
        <v>0</v>
      </c>
      <c r="AS34" s="227">
        <f>'расчет цен и скидок'!AS34</f>
        <v>0</v>
      </c>
      <c r="AT34" s="239">
        <f>'расчет цен и скидок'!AT34</f>
        <v>0</v>
      </c>
      <c r="AU34" s="239">
        <f>'расчет цен и скидок'!AU34</f>
        <v>0</v>
      </c>
      <c r="AV34" s="239">
        <f>'расчет цен и скидок'!AV34</f>
        <v>0</v>
      </c>
      <c r="AW34" s="227">
        <f>'расчет цен и скидок'!AW34</f>
        <v>0</v>
      </c>
      <c r="AX34" s="239">
        <f>'расчет цен и скидок'!AX34</f>
        <v>0</v>
      </c>
      <c r="AY34" s="217">
        <f>'расчет цен и скидок'!AY34</f>
        <v>0</v>
      </c>
      <c r="AZ34" s="227">
        <f>'расчет цен и скидок'!AZ34</f>
        <v>0</v>
      </c>
      <c r="BA34" s="239">
        <f>'расчет цен и скидок'!BA34</f>
        <v>0</v>
      </c>
      <c r="BB34" s="217">
        <f>'расчет цен и скидок'!BB34</f>
        <v>0</v>
      </c>
      <c r="BC34" s="227">
        <f>'расчет цен и скидок'!BC34</f>
        <v>0</v>
      </c>
      <c r="BD34" s="217">
        <f>'расчет цен и скидок'!BD34</f>
        <v>0</v>
      </c>
      <c r="BE34" s="217">
        <f>'расчет цен и скидок'!BE34</f>
        <v>0</v>
      </c>
      <c r="BF34" s="218">
        <f>'расчет цен и скидок'!BF34</f>
        <v>0</v>
      </c>
      <c r="BG34" s="239">
        <f>'расчет цен и скидок'!BG34</f>
        <v>0</v>
      </c>
      <c r="BH34" s="217">
        <f>'расчет цен и скидок'!BH34</f>
        <v>0</v>
      </c>
      <c r="BI34" s="227">
        <f>'расчет цен и скидок'!BI34</f>
        <v>0</v>
      </c>
      <c r="BJ34" s="239">
        <f>'расчет цен и скидок'!BJ34</f>
        <v>0</v>
      </c>
      <c r="BK34" s="217">
        <f>'расчет цен и скидок'!BK34</f>
        <v>0</v>
      </c>
      <c r="BL34" s="217">
        <f>'расчет цен и скидок'!BL34</f>
        <v>0</v>
      </c>
      <c r="BM34" s="217">
        <f>'расчет цен и скидок'!BM34</f>
        <v>0</v>
      </c>
      <c r="BN34" s="217">
        <f>'расчет цен и скидок'!BN34</f>
        <v>0</v>
      </c>
      <c r="BO34" s="217">
        <f>'расчет цен и скидок'!BO34</f>
        <v>0</v>
      </c>
      <c r="BP34" s="217">
        <f>'расчет цен и скидок'!BP34</f>
        <v>0</v>
      </c>
      <c r="BQ34" s="217">
        <f>'расчет цен и скидок'!BQ34</f>
        <v>0</v>
      </c>
      <c r="BR34" s="217">
        <f>'расчет цен и скидок'!BR34</f>
        <v>0</v>
      </c>
      <c r="BS34" s="217">
        <f>'расчет цен и скидок'!BS34</f>
        <v>0</v>
      </c>
      <c r="BT34" s="217">
        <f>'расчет цен и скидок'!BT34</f>
        <v>0</v>
      </c>
      <c r="BU34" s="217">
        <f>'расчет цен и скидок'!BU34</f>
        <v>0</v>
      </c>
      <c r="BV34" s="217">
        <f>'расчет цен и скидок'!BV34</f>
        <v>0</v>
      </c>
      <c r="BW34" s="217">
        <f>'расчет цен и скидок'!BW34</f>
        <v>0</v>
      </c>
      <c r="BX34" s="217">
        <f>'расчет цен и скидок'!BX34</f>
        <v>0</v>
      </c>
      <c r="BY34" s="217">
        <f>'расчет цен и скидок'!BY34</f>
        <v>0</v>
      </c>
      <c r="BZ34" s="217">
        <f>'расчет цен и скидок'!BZ34</f>
        <v>0</v>
      </c>
      <c r="CA34" s="217">
        <f>'расчет цен и скидок'!CA34</f>
        <v>0</v>
      </c>
      <c r="CB34" s="217">
        <f>'расчет цен и скидок'!CB34</f>
        <v>0</v>
      </c>
      <c r="CC34" s="217">
        <f>'расчет цен и скидок'!CC34</f>
        <v>0</v>
      </c>
      <c r="CD34" s="217">
        <f>'расчет цен и скидок'!CD34</f>
        <v>0</v>
      </c>
      <c r="CE34" s="217">
        <f>'расчет цен и скидок'!CE34</f>
        <v>0</v>
      </c>
      <c r="CF34" s="217">
        <f>'расчет цен и скидок'!CF34</f>
        <v>0</v>
      </c>
      <c r="CG34" s="217">
        <f>'расчет цен и скидок'!CG34</f>
        <v>0</v>
      </c>
      <c r="CH34" s="217">
        <f>'расчет цен и скидок'!CH34</f>
        <v>0</v>
      </c>
      <c r="CI34" s="217">
        <f>'расчет цен и скидок'!CI34</f>
        <v>0</v>
      </c>
      <c r="CJ34" s="217">
        <f>'расчет цен и скидок'!CJ34</f>
        <v>0</v>
      </c>
      <c r="CK34" s="217">
        <f>'расчет цен и скидок'!CK34</f>
        <v>0</v>
      </c>
      <c r="CL34" s="217">
        <f>'расчет цен и скидок'!CL34</f>
        <v>0</v>
      </c>
      <c r="CM34" s="217">
        <f>'расчет цен и скидок'!CM34</f>
        <v>0</v>
      </c>
      <c r="CN34" s="217">
        <f>'расчет цен и скидок'!CN34</f>
        <v>0</v>
      </c>
    </row>
    <row r="35" spans="1:92" s="217" customFormat="1" ht="15.75">
      <c r="A35" s="279" t="str">
        <f>'расчет цен и скидок'!A35</f>
        <v>Вкладыш к контейнеру</v>
      </c>
      <c r="B35" s="308"/>
      <c r="C35" s="219">
        <f>'расчет цен и скидок'!C35</f>
        <v>0</v>
      </c>
      <c r="D35" s="219">
        <f>'расчет цен и скидок'!D35</f>
        <v>0</v>
      </c>
      <c r="E35" s="219">
        <f>'расчет цен и скидок'!E35</f>
        <v>0</v>
      </c>
      <c r="F35" s="219">
        <f>'расчет цен и скидок'!F35</f>
        <v>0</v>
      </c>
      <c r="G35" s="219">
        <f>'расчет цен и скидок'!G35</f>
        <v>0</v>
      </c>
      <c r="H35" s="219">
        <f>'расчет цен и скидок'!H35</f>
        <v>0</v>
      </c>
      <c r="I35" s="219">
        <f>'расчет цен и скидок'!I35</f>
        <v>0</v>
      </c>
      <c r="J35" s="219">
        <f>'расчет цен и скидок'!J35</f>
        <v>0</v>
      </c>
      <c r="K35" s="231">
        <f>'расчет цен и скидок'!K35</f>
        <v>65</v>
      </c>
      <c r="L35" s="231">
        <f>'расчет цен и скидок'!L35</f>
        <v>76.7</v>
      </c>
      <c r="M35" s="231">
        <f>'расчет цен и скидок'!M35</f>
        <v>0</v>
      </c>
      <c r="N35" s="221">
        <f>'расчет цен и скидок'!N35</f>
        <v>65</v>
      </c>
      <c r="O35" s="221">
        <f>'расчет цен и скидок'!O35</f>
        <v>76.7</v>
      </c>
      <c r="P35" s="232">
        <f>'расчет цен и скидок'!P35</f>
        <v>0</v>
      </c>
      <c r="Q35" s="233">
        <f>'расчет цен и скидок'!Q35</f>
        <v>0</v>
      </c>
      <c r="R35" s="234">
        <f>'расчет цен и скидок'!R35</f>
        <v>0</v>
      </c>
      <c r="S35" s="223">
        <f>'расчет цен и скидок'!S35</f>
        <v>0</v>
      </c>
      <c r="T35" s="224">
        <f>'расчет цен и скидок'!T35</f>
        <v>-1</v>
      </c>
      <c r="U35" s="250"/>
      <c r="V35" s="221"/>
      <c r="W35" s="221"/>
      <c r="X35" s="221"/>
      <c r="Y35" s="225"/>
      <c r="Z35" s="250"/>
      <c r="AA35" s="221"/>
      <c r="AB35" s="221"/>
      <c r="AC35" s="227">
        <f>'расчет цен и скидок'!AC35</f>
        <v>0</v>
      </c>
      <c r="AD35" s="239">
        <f>'расчет цен и скидок'!AD35</f>
        <v>0</v>
      </c>
      <c r="AE35" s="239">
        <f>'расчет цен и скидок'!AE35</f>
        <v>0</v>
      </c>
      <c r="AF35" s="239">
        <f>'расчет цен и скидок'!AF35</f>
        <v>0</v>
      </c>
      <c r="AG35" s="239">
        <f>'расчет цен и скидок'!AG35</f>
        <v>0</v>
      </c>
      <c r="AH35" s="239">
        <f>'расчет цен и скидок'!AH35</f>
        <v>0</v>
      </c>
      <c r="AI35" s="239">
        <f>'расчет цен и скидок'!AI35</f>
        <v>0</v>
      </c>
      <c r="AJ35" s="229" t="e">
        <f>'расчет цен и скидок'!AJ35</f>
        <v>#DIV/0!</v>
      </c>
      <c r="AK35" s="227">
        <f>'расчет цен и скидок'!AK35</f>
        <v>0</v>
      </c>
      <c r="AL35" s="239">
        <f>'расчет цен и скидок'!AL35</f>
        <v>0</v>
      </c>
      <c r="AM35" s="239">
        <f>'расчет цен и скидок'!AM35</f>
        <v>0</v>
      </c>
      <c r="AN35" s="239">
        <f>'расчет цен и скидок'!AN35</f>
        <v>0</v>
      </c>
      <c r="AO35" s="227">
        <f>'расчет цен и скидок'!AO35</f>
        <v>0</v>
      </c>
      <c r="AP35" s="239">
        <f>'расчет цен и скидок'!AP35</f>
        <v>0</v>
      </c>
      <c r="AQ35" s="239">
        <f>'расчет цен и скидок'!AQ35</f>
        <v>0</v>
      </c>
      <c r="AR35" s="239">
        <f>'расчет цен и скидок'!AR35</f>
        <v>0</v>
      </c>
      <c r="AS35" s="227">
        <f>'расчет цен и скидок'!AS35</f>
        <v>0</v>
      </c>
      <c r="AT35" s="239">
        <f>'расчет цен и скидок'!AT35</f>
        <v>0</v>
      </c>
      <c r="AU35" s="239">
        <f>'расчет цен и скидок'!AU35</f>
        <v>0</v>
      </c>
      <c r="AV35" s="239">
        <f>'расчет цен и скидок'!AV35</f>
        <v>0</v>
      </c>
      <c r="AW35" s="227">
        <f>'расчет цен и скидок'!AW35</f>
        <v>0</v>
      </c>
      <c r="AX35" s="239">
        <f>'расчет цен и скидок'!AX35</f>
        <v>0</v>
      </c>
      <c r="AY35" s="217">
        <f>'расчет цен и скидок'!AY35</f>
        <v>0</v>
      </c>
      <c r="AZ35" s="227">
        <f>'расчет цен и скидок'!AZ35</f>
        <v>0</v>
      </c>
      <c r="BA35" s="239">
        <f>'расчет цен и скидок'!BA35</f>
        <v>0</v>
      </c>
      <c r="BB35" s="217">
        <f>'расчет цен и скидок'!BB35</f>
        <v>0</v>
      </c>
      <c r="BC35" s="227">
        <f>'расчет цен и скидок'!BC35</f>
        <v>0</v>
      </c>
      <c r="BD35" s="217">
        <f>'расчет цен и скидок'!BD35</f>
        <v>0</v>
      </c>
      <c r="BE35" s="217">
        <f>'расчет цен и скидок'!BE35</f>
        <v>0</v>
      </c>
      <c r="BF35" s="218">
        <f>'расчет цен и скидок'!BF35</f>
        <v>0</v>
      </c>
      <c r="BG35" s="239">
        <f>'расчет цен и скидок'!BG35</f>
        <v>0</v>
      </c>
      <c r="BH35" s="217">
        <f>'расчет цен и скидок'!BH35</f>
        <v>0</v>
      </c>
      <c r="BI35" s="227">
        <f>'расчет цен и скидок'!BI35</f>
        <v>0</v>
      </c>
      <c r="BJ35" s="239">
        <f>'расчет цен и скидок'!BJ35</f>
        <v>0</v>
      </c>
      <c r="BK35" s="217">
        <f>'расчет цен и скидок'!BK35</f>
        <v>0</v>
      </c>
      <c r="BL35" s="217">
        <f>'расчет цен и скидок'!BL35</f>
        <v>0</v>
      </c>
      <c r="BM35" s="217">
        <f>'расчет цен и скидок'!BM35</f>
        <v>0</v>
      </c>
      <c r="BN35" s="217">
        <f>'расчет цен и скидок'!BN35</f>
        <v>0</v>
      </c>
      <c r="BO35" s="217">
        <f>'расчет цен и скидок'!BO35</f>
        <v>0</v>
      </c>
      <c r="BP35" s="217">
        <f>'расчет цен и скидок'!BP35</f>
        <v>0</v>
      </c>
      <c r="BQ35" s="217">
        <f>'расчет цен и скидок'!BQ35</f>
        <v>0</v>
      </c>
      <c r="BR35" s="217">
        <f>'расчет цен и скидок'!BR35</f>
        <v>0</v>
      </c>
      <c r="BS35" s="217">
        <f>'расчет цен и скидок'!BS35</f>
        <v>0</v>
      </c>
      <c r="BT35" s="217">
        <f>'расчет цен и скидок'!BT35</f>
        <v>0</v>
      </c>
      <c r="BU35" s="217">
        <f>'расчет цен и скидок'!BU35</f>
        <v>0</v>
      </c>
      <c r="BV35" s="217">
        <f>'расчет цен и скидок'!BV35</f>
        <v>0</v>
      </c>
      <c r="BW35" s="217">
        <f>'расчет цен и скидок'!BW35</f>
        <v>0</v>
      </c>
      <c r="BX35" s="217">
        <f>'расчет цен и скидок'!BX35</f>
        <v>0</v>
      </c>
      <c r="BY35" s="217">
        <f>'расчет цен и скидок'!BY35</f>
        <v>0</v>
      </c>
      <c r="BZ35" s="217">
        <f>'расчет цен и скидок'!BZ35</f>
        <v>0</v>
      </c>
      <c r="CA35" s="217">
        <f>'расчет цен и скидок'!CA35</f>
        <v>0</v>
      </c>
      <c r="CB35" s="217">
        <f>'расчет цен и скидок'!CB35</f>
        <v>0</v>
      </c>
      <c r="CC35" s="217">
        <f>'расчет цен и скидок'!CC35</f>
        <v>0</v>
      </c>
      <c r="CD35" s="217">
        <f>'расчет цен и скидок'!CD35</f>
        <v>0</v>
      </c>
      <c r="CE35" s="217">
        <f>'расчет цен и скидок'!CE35</f>
        <v>0</v>
      </c>
      <c r="CF35" s="217">
        <f>'расчет цен и скидок'!CF35</f>
        <v>0</v>
      </c>
      <c r="CG35" s="217">
        <f>'расчет цен и скидок'!CG35</f>
        <v>0</v>
      </c>
      <c r="CH35" s="217">
        <f>'расчет цен и скидок'!CH35</f>
        <v>0</v>
      </c>
      <c r="CI35" s="217">
        <f>'расчет цен и скидок'!CI35</f>
        <v>0</v>
      </c>
      <c r="CJ35" s="217">
        <f>'расчет цен и скидок'!CJ35</f>
        <v>0</v>
      </c>
      <c r="CK35" s="217">
        <f>'расчет цен и скидок'!CK35</f>
        <v>0</v>
      </c>
      <c r="CL35" s="217">
        <f>'расчет цен и скидок'!CL35</f>
        <v>0</v>
      </c>
      <c r="CM35" s="217">
        <f>'расчет цен и скидок'!CM35</f>
        <v>0</v>
      </c>
      <c r="CN35" s="217">
        <f>'расчет цен и скидок'!CN35</f>
        <v>0</v>
      </c>
    </row>
    <row r="36" spans="1:92" s="217" customFormat="1" ht="15.75">
      <c r="A36" s="279" t="str">
        <f>'расчет цен и скидок'!A36</f>
        <v>Поддон</v>
      </c>
      <c r="B36" s="308"/>
      <c r="C36" s="219">
        <f>'расчет цен и скидок'!C36</f>
        <v>0</v>
      </c>
      <c r="D36" s="219">
        <f>'расчет цен и скидок'!D36</f>
        <v>0</v>
      </c>
      <c r="E36" s="219">
        <f>'расчет цен и скидок'!E36</f>
        <v>0</v>
      </c>
      <c r="F36" s="219">
        <f>'расчет цен и скидок'!F36</f>
        <v>0</v>
      </c>
      <c r="G36" s="219">
        <f>'расчет цен и скидок'!G36</f>
        <v>0</v>
      </c>
      <c r="H36" s="219">
        <f>'расчет цен и скидок'!H36</f>
        <v>0</v>
      </c>
      <c r="I36" s="219">
        <f>'расчет цен и скидок'!I36</f>
        <v>0</v>
      </c>
      <c r="J36" s="219">
        <f>'расчет цен и скидок'!J36</f>
        <v>0</v>
      </c>
      <c r="K36" s="231">
        <f>'расчет цен и скидок'!K36</f>
        <v>160</v>
      </c>
      <c r="L36" s="231">
        <f>'расчет цен и скидок'!L36</f>
        <v>188.8</v>
      </c>
      <c r="M36" s="231">
        <f>'расчет цен и скидок'!M36</f>
        <v>0</v>
      </c>
      <c r="N36" s="221">
        <f>'расчет цен и скидок'!N36</f>
        <v>169.49152542372883</v>
      </c>
      <c r="O36" s="221">
        <f>'расчет цен и скидок'!O36</f>
        <v>200</v>
      </c>
      <c r="P36" s="232">
        <f>'расчет цен и скидок'!P36</f>
        <v>169.49</v>
      </c>
      <c r="Q36" s="233">
        <f>'расчет цен и скидок'!Q36</f>
        <v>30.50999999999999</v>
      </c>
      <c r="R36" s="234">
        <f>'расчет цен и скидок'!R36</f>
        <v>200</v>
      </c>
      <c r="S36" s="223">
        <f>'расчет цен и скидок'!S36</f>
        <v>0.0625</v>
      </c>
      <c r="T36" s="224">
        <f>'расчет цен и скидок'!T36</f>
        <v>0</v>
      </c>
      <c r="U36" s="250"/>
      <c r="V36" s="221"/>
      <c r="W36" s="221"/>
      <c r="X36" s="221"/>
      <c r="Y36" s="225"/>
      <c r="Z36" s="250"/>
      <c r="AA36" s="221"/>
      <c r="AB36" s="221"/>
      <c r="AC36" s="227">
        <f>'расчет цен и скидок'!AC36</f>
        <v>0</v>
      </c>
      <c r="AD36" s="239">
        <f>'расчет цен и скидок'!AD36</f>
        <v>0</v>
      </c>
      <c r="AE36" s="239">
        <f>'расчет цен и скидок'!AE36</f>
        <v>0</v>
      </c>
      <c r="AF36" s="239">
        <f>'расчет цен и скидок'!AF36</f>
        <v>0</v>
      </c>
      <c r="AG36" s="239">
        <f>'расчет цен и скидок'!AG36</f>
        <v>0</v>
      </c>
      <c r="AH36" s="239">
        <f>'расчет цен и скидок'!AH36</f>
        <v>0</v>
      </c>
      <c r="AI36" s="239">
        <f>'расчет цен и скидок'!AI36</f>
        <v>0</v>
      </c>
      <c r="AJ36" s="229" t="e">
        <f>'расчет цен и скидок'!AJ36</f>
        <v>#DIV/0!</v>
      </c>
      <c r="AK36" s="227">
        <f>'расчет цен и скидок'!AK36</f>
        <v>0</v>
      </c>
      <c r="AL36" s="239">
        <f>'расчет цен и скидок'!AL36</f>
        <v>0</v>
      </c>
      <c r="AM36" s="239">
        <f>'расчет цен и скидок'!AM36</f>
        <v>0</v>
      </c>
      <c r="AN36" s="239">
        <f>'расчет цен и скидок'!AN36</f>
        <v>0</v>
      </c>
      <c r="AO36" s="227">
        <f>'расчет цен и скидок'!AO36</f>
        <v>0</v>
      </c>
      <c r="AP36" s="239">
        <f>'расчет цен и скидок'!AP36</f>
        <v>0</v>
      </c>
      <c r="AQ36" s="239">
        <f>'расчет цен и скидок'!AQ36</f>
        <v>0</v>
      </c>
      <c r="AR36" s="239">
        <f>'расчет цен и скидок'!AR36</f>
        <v>0</v>
      </c>
      <c r="AS36" s="227">
        <f>'расчет цен и скидок'!AS36</f>
        <v>0</v>
      </c>
      <c r="AT36" s="239">
        <f>'расчет цен и скидок'!AT36</f>
        <v>0</v>
      </c>
      <c r="AU36" s="239">
        <f>'расчет цен и скидок'!AU36</f>
        <v>0</v>
      </c>
      <c r="AV36" s="239">
        <f>'расчет цен и скидок'!AV36</f>
        <v>0</v>
      </c>
      <c r="AW36" s="227">
        <f>'расчет цен и скидок'!AW36</f>
        <v>0</v>
      </c>
      <c r="AX36" s="239">
        <f>'расчет цен и скидок'!AX36</f>
        <v>0</v>
      </c>
      <c r="AY36" s="217">
        <f>'расчет цен и скидок'!AY36</f>
        <v>0</v>
      </c>
      <c r="AZ36" s="227">
        <f>'расчет цен и скидок'!AZ36</f>
        <v>0</v>
      </c>
      <c r="BA36" s="239">
        <f>'расчет цен и скидок'!BA36</f>
        <v>0</v>
      </c>
      <c r="BB36" s="217">
        <f>'расчет цен и скидок'!BB36</f>
        <v>0</v>
      </c>
      <c r="BC36" s="227">
        <f>'расчет цен и скидок'!BC36</f>
        <v>0</v>
      </c>
      <c r="BD36" s="217">
        <f>'расчет цен и скидок'!BD36</f>
        <v>0</v>
      </c>
      <c r="BE36" s="217">
        <f>'расчет цен и скидок'!BE36</f>
        <v>0</v>
      </c>
      <c r="BF36" s="218">
        <f>'расчет цен и скидок'!BF36</f>
        <v>0</v>
      </c>
      <c r="BG36" s="239">
        <f>'расчет цен и скидок'!BG36</f>
        <v>0</v>
      </c>
      <c r="BH36" s="217">
        <f>'расчет цен и скидок'!BH36</f>
        <v>0</v>
      </c>
      <c r="BI36" s="227">
        <f>'расчет цен и скидок'!BI36</f>
        <v>0</v>
      </c>
      <c r="BJ36" s="239">
        <f>'расчет цен и скидок'!BJ36</f>
        <v>0</v>
      </c>
      <c r="BK36" s="217">
        <f>'расчет цен и скидок'!BK36</f>
        <v>0</v>
      </c>
      <c r="BL36" s="217">
        <f>'расчет цен и скидок'!BL36</f>
        <v>0</v>
      </c>
      <c r="BM36" s="217">
        <f>'расчет цен и скидок'!BM36</f>
        <v>0</v>
      </c>
      <c r="BN36" s="217">
        <f>'расчет цен и скидок'!BN36</f>
        <v>0</v>
      </c>
      <c r="BO36" s="217">
        <f>'расчет цен и скидок'!BO36</f>
        <v>0</v>
      </c>
      <c r="BP36" s="217">
        <f>'расчет цен и скидок'!BP36</f>
        <v>0</v>
      </c>
      <c r="BQ36" s="217">
        <f>'расчет цен и скидок'!BQ36</f>
        <v>0</v>
      </c>
      <c r="BR36" s="217">
        <f>'расчет цен и скидок'!BR36</f>
        <v>0</v>
      </c>
      <c r="BS36" s="217">
        <f>'расчет цен и скидок'!BS36</f>
        <v>0</v>
      </c>
      <c r="BT36" s="217">
        <f>'расчет цен и скидок'!BT36</f>
        <v>0</v>
      </c>
      <c r="BU36" s="217">
        <f>'расчет цен и скидок'!BU36</f>
        <v>0</v>
      </c>
      <c r="BV36" s="217">
        <f>'расчет цен и скидок'!BV36</f>
        <v>0</v>
      </c>
      <c r="BW36" s="217">
        <f>'расчет цен и скидок'!BW36</f>
        <v>0</v>
      </c>
      <c r="BX36" s="217">
        <f>'расчет цен и скидок'!BX36</f>
        <v>0</v>
      </c>
      <c r="BY36" s="217">
        <f>'расчет цен и скидок'!BY36</f>
        <v>0</v>
      </c>
      <c r="BZ36" s="217">
        <f>'расчет цен и скидок'!BZ36</f>
        <v>0</v>
      </c>
      <c r="CA36" s="217">
        <f>'расчет цен и скидок'!CA36</f>
        <v>0</v>
      </c>
      <c r="CB36" s="217">
        <f>'расчет цен и скидок'!CB36</f>
        <v>0</v>
      </c>
      <c r="CC36" s="217">
        <f>'расчет цен и скидок'!CC36</f>
        <v>0</v>
      </c>
      <c r="CD36" s="217">
        <f>'расчет цен и скидок'!CD36</f>
        <v>0</v>
      </c>
      <c r="CE36" s="217">
        <f>'расчет цен и скидок'!CE36</f>
        <v>0</v>
      </c>
      <c r="CF36" s="217">
        <f>'расчет цен и скидок'!CF36</f>
        <v>0</v>
      </c>
      <c r="CG36" s="217">
        <f>'расчет цен и скидок'!CG36</f>
        <v>0</v>
      </c>
      <c r="CH36" s="217">
        <f>'расчет цен и скидок'!CH36</f>
        <v>0</v>
      </c>
      <c r="CI36" s="217">
        <f>'расчет цен и скидок'!CI36</f>
        <v>0</v>
      </c>
      <c r="CJ36" s="217">
        <f>'расчет цен и скидок'!CJ36</f>
        <v>0</v>
      </c>
      <c r="CK36" s="217">
        <f>'расчет цен и скидок'!CK36</f>
        <v>0</v>
      </c>
      <c r="CL36" s="217">
        <f>'расчет цен и скидок'!CL36</f>
        <v>0</v>
      </c>
      <c r="CM36" s="217">
        <f>'расчет цен и скидок'!CM36</f>
        <v>0</v>
      </c>
      <c r="CN36" s="217">
        <f>'расчет цен и скидок'!CN36</f>
        <v>0</v>
      </c>
    </row>
    <row r="37" spans="1:92" s="217" customFormat="1" ht="15.75">
      <c r="A37" s="279" t="str">
        <f>'расчет цен и скидок'!A37</f>
        <v>МКР с вкладышем</v>
      </c>
      <c r="B37" s="308"/>
      <c r="C37" s="219">
        <f>'расчет цен и скидок'!C37</f>
        <v>0</v>
      </c>
      <c r="D37" s="219">
        <f>'расчет цен и скидок'!D37</f>
        <v>0</v>
      </c>
      <c r="E37" s="219">
        <f>'расчет цен и скидок'!E37</f>
        <v>0</v>
      </c>
      <c r="F37" s="219">
        <f>'расчет цен и скидок'!F37</f>
        <v>0</v>
      </c>
      <c r="G37" s="219">
        <f>'расчет цен и скидок'!G37</f>
        <v>0</v>
      </c>
      <c r="H37" s="219">
        <f>'расчет цен и скидок'!H37</f>
        <v>0</v>
      </c>
      <c r="I37" s="219">
        <f>'расчет цен и скидок'!I37</f>
        <v>0</v>
      </c>
      <c r="J37" s="219">
        <f>'расчет цен и скидок'!J37</f>
        <v>0</v>
      </c>
      <c r="K37" s="231">
        <f>'расчет цен и скидок'!K37</f>
        <v>0</v>
      </c>
      <c r="L37" s="231">
        <f>'расчет цен и скидок'!L37</f>
        <v>0</v>
      </c>
      <c r="M37" s="231">
        <f>'расчет цен и скидок'!M37</f>
        <v>0</v>
      </c>
      <c r="N37" s="221">
        <f>'расчет цен и скидок'!N37</f>
        <v>0</v>
      </c>
      <c r="O37" s="221">
        <f>'расчет цен и скидок'!O37</f>
        <v>0</v>
      </c>
      <c r="P37" s="232">
        <f>'расчет цен и скидок'!P37</f>
        <v>200</v>
      </c>
      <c r="Q37" s="233">
        <f>'расчет цен и скидок'!Q37</f>
        <v>36</v>
      </c>
      <c r="R37" s="234">
        <f>'расчет цен и скидок'!R37</f>
        <v>236</v>
      </c>
      <c r="S37" s="223">
        <f>'расчет цен и скидок'!S37</f>
        <v>0</v>
      </c>
      <c r="T37" s="224" t="e">
        <f>'расчет цен и скидок'!T37</f>
        <v>#DIV/0!</v>
      </c>
      <c r="U37" s="250"/>
      <c r="V37" s="221"/>
      <c r="W37" s="221"/>
      <c r="X37" s="221"/>
      <c r="Y37" s="225"/>
      <c r="Z37" s="250"/>
      <c r="AA37" s="221"/>
      <c r="AB37" s="221"/>
      <c r="AC37" s="227">
        <f>'расчет цен и скидок'!AC37</f>
        <v>0</v>
      </c>
      <c r="AD37" s="239">
        <f>'расчет цен и скидок'!AD37</f>
        <v>0</v>
      </c>
      <c r="AE37" s="239">
        <f>'расчет цен и скидок'!AE37</f>
        <v>0</v>
      </c>
      <c r="AF37" s="239">
        <f>'расчет цен и скидок'!AF37</f>
        <v>0</v>
      </c>
      <c r="AG37" s="239">
        <f>'расчет цен и скидок'!AG37</f>
        <v>0</v>
      </c>
      <c r="AH37" s="239">
        <f>'расчет цен и скидок'!AH37</f>
        <v>0</v>
      </c>
      <c r="AI37" s="239">
        <f>'расчет цен и скидок'!AI37</f>
        <v>0</v>
      </c>
      <c r="AJ37" s="229">
        <f>'расчет цен и скидок'!AJ37</f>
        <v>0</v>
      </c>
      <c r="AK37" s="227">
        <f>'расчет цен и скидок'!AK37</f>
        <v>0</v>
      </c>
      <c r="AL37" s="239">
        <f>'расчет цен и скидок'!AL37</f>
        <v>0</v>
      </c>
      <c r="AM37" s="239">
        <f>'расчет цен и скидок'!AM37</f>
        <v>0</v>
      </c>
      <c r="AN37" s="239">
        <f>'расчет цен и скидок'!AN37</f>
        <v>0</v>
      </c>
      <c r="AO37" s="227">
        <f>'расчет цен и скидок'!AO37</f>
        <v>0</v>
      </c>
      <c r="AP37" s="239">
        <f>'расчет цен и скидок'!AP37</f>
        <v>0</v>
      </c>
      <c r="AQ37" s="239">
        <f>'расчет цен и скидок'!AQ37</f>
        <v>0</v>
      </c>
      <c r="AR37" s="239">
        <f>'расчет цен и скидок'!AR37</f>
        <v>0</v>
      </c>
      <c r="AS37" s="227">
        <f>'расчет цен и скидок'!AS37</f>
        <v>0</v>
      </c>
      <c r="AT37" s="239">
        <f>'расчет цен и скидок'!AT37</f>
        <v>0</v>
      </c>
      <c r="AU37" s="239">
        <f>'расчет цен и скидок'!AU37</f>
        <v>0</v>
      </c>
      <c r="AV37" s="239">
        <f>'расчет цен и скидок'!AV37</f>
        <v>0</v>
      </c>
      <c r="AW37" s="227">
        <f>'расчет цен и скидок'!AW37</f>
        <v>0</v>
      </c>
      <c r="AX37" s="239">
        <f>'расчет цен и скидок'!AX37</f>
        <v>0</v>
      </c>
      <c r="AY37" s="217">
        <f>'расчет цен и скидок'!AY37</f>
        <v>0</v>
      </c>
      <c r="AZ37" s="227">
        <f>'расчет цен и скидок'!AZ37</f>
        <v>0</v>
      </c>
      <c r="BA37" s="239">
        <f>'расчет цен и скидок'!BA37</f>
        <v>0</v>
      </c>
      <c r="BB37" s="217">
        <f>'расчет цен и скидок'!BB37</f>
        <v>0</v>
      </c>
      <c r="BC37" s="227">
        <f>'расчет цен и скидок'!BC37</f>
        <v>0</v>
      </c>
      <c r="BD37" s="217">
        <f>'расчет цен и скидок'!BD37</f>
        <v>0</v>
      </c>
      <c r="BE37" s="217">
        <f>'расчет цен и скидок'!BE37</f>
        <v>0</v>
      </c>
      <c r="BF37" s="218">
        <f>'расчет цен и скидок'!BF37</f>
        <v>0</v>
      </c>
      <c r="BG37" s="239">
        <f>'расчет цен и скидок'!BG37</f>
        <v>0</v>
      </c>
      <c r="BH37" s="217">
        <f>'расчет цен и скидок'!BH37</f>
        <v>0</v>
      </c>
      <c r="BI37" s="227">
        <f>'расчет цен и скидок'!BI37</f>
        <v>0</v>
      </c>
      <c r="BJ37" s="239">
        <f>'расчет цен и скидок'!BJ37</f>
        <v>0</v>
      </c>
      <c r="BK37" s="217">
        <f>'расчет цен и скидок'!BK37</f>
        <v>0</v>
      </c>
      <c r="BL37" s="217">
        <f>'расчет цен и скидок'!BL37</f>
        <v>0</v>
      </c>
      <c r="BM37" s="217">
        <f>'расчет цен и скидок'!BM37</f>
        <v>0</v>
      </c>
      <c r="BN37" s="217">
        <f>'расчет цен и скидок'!BN37</f>
        <v>0</v>
      </c>
      <c r="BO37" s="217">
        <f>'расчет цен и скидок'!BO37</f>
        <v>0</v>
      </c>
      <c r="BP37" s="217">
        <f>'расчет цен и скидок'!BP37</f>
        <v>0</v>
      </c>
      <c r="BQ37" s="217">
        <f>'расчет цен и скидок'!BQ37</f>
        <v>0</v>
      </c>
      <c r="BR37" s="217">
        <f>'расчет цен и скидок'!BR37</f>
        <v>0</v>
      </c>
      <c r="BS37" s="217">
        <f>'расчет цен и скидок'!BS37</f>
        <v>0</v>
      </c>
      <c r="BT37" s="217">
        <f>'расчет цен и скидок'!BT37</f>
        <v>0</v>
      </c>
      <c r="BU37" s="217">
        <f>'расчет цен и скидок'!BU37</f>
        <v>0</v>
      </c>
      <c r="BV37" s="217">
        <f>'расчет цен и скидок'!BV37</f>
        <v>0</v>
      </c>
      <c r="BW37" s="217">
        <f>'расчет цен и скидок'!BW37</f>
        <v>0</v>
      </c>
      <c r="BX37" s="217">
        <f>'расчет цен и скидок'!BX37</f>
        <v>0</v>
      </c>
      <c r="BY37" s="217">
        <f>'расчет цен и скидок'!BY37</f>
        <v>0</v>
      </c>
      <c r="BZ37" s="217">
        <f>'расчет цен и скидок'!BZ37</f>
        <v>0</v>
      </c>
      <c r="CA37" s="217">
        <f>'расчет цен и скидок'!CA37</f>
        <v>0</v>
      </c>
      <c r="CB37" s="217">
        <f>'расчет цен и скидок'!CB37</f>
        <v>0</v>
      </c>
      <c r="CC37" s="217">
        <f>'расчет цен и скидок'!CC37</f>
        <v>0</v>
      </c>
      <c r="CD37" s="217">
        <f>'расчет цен и скидок'!CD37</f>
        <v>0</v>
      </c>
      <c r="CE37" s="217">
        <f>'расчет цен и скидок'!CE37</f>
        <v>0</v>
      </c>
      <c r="CF37" s="217">
        <f>'расчет цен и скидок'!CF37</f>
        <v>0</v>
      </c>
      <c r="CG37" s="217">
        <f>'расчет цен и скидок'!CG37</f>
        <v>0</v>
      </c>
      <c r="CH37" s="217">
        <f>'расчет цен и скидок'!CH37</f>
        <v>0</v>
      </c>
      <c r="CI37" s="217">
        <f>'расчет цен и скидок'!CI37</f>
        <v>0</v>
      </c>
      <c r="CJ37" s="217">
        <f>'расчет цен и скидок'!CJ37</f>
        <v>0</v>
      </c>
      <c r="CK37" s="217">
        <f>'расчет цен и скидок'!CK37</f>
        <v>0</v>
      </c>
      <c r="CL37" s="217">
        <f>'расчет цен и скидок'!CL37</f>
        <v>0</v>
      </c>
      <c r="CM37" s="217">
        <f>'расчет цен и скидок'!CM37</f>
        <v>0</v>
      </c>
      <c r="CN37" s="217">
        <f>'расчет цен и скидок'!CN37</f>
        <v>0</v>
      </c>
    </row>
    <row r="38" spans="1:92" s="217" customFormat="1" ht="15.75">
      <c r="A38" s="279" t="str">
        <f>'расчет цен и скидок'!A38</f>
        <v>МКР без вкладыша</v>
      </c>
      <c r="B38" s="308"/>
      <c r="C38" s="219">
        <f>'расчет цен и скидок'!C38</f>
        <v>0</v>
      </c>
      <c r="D38" s="219">
        <f>'расчет цен и скидок'!D38</f>
        <v>0</v>
      </c>
      <c r="E38" s="219">
        <f>'расчет цен и скидок'!E38</f>
        <v>0</v>
      </c>
      <c r="F38" s="219">
        <f>'расчет цен и скидок'!F38</f>
        <v>0</v>
      </c>
      <c r="G38" s="219">
        <f>'расчет цен и скидок'!G38</f>
        <v>0</v>
      </c>
      <c r="H38" s="219">
        <f>'расчет цен и скидок'!H38</f>
        <v>0</v>
      </c>
      <c r="I38" s="219">
        <f>'расчет цен и скидок'!I38</f>
        <v>0</v>
      </c>
      <c r="J38" s="219">
        <f>'расчет цен и скидок'!J38</f>
        <v>0</v>
      </c>
      <c r="K38" s="231">
        <f>'расчет цен и скидок'!K38</f>
        <v>0</v>
      </c>
      <c r="L38" s="231">
        <f>'расчет цен и скидок'!L38</f>
        <v>0</v>
      </c>
      <c r="M38" s="231">
        <f>'расчет цен и скидок'!M38</f>
        <v>0</v>
      </c>
      <c r="N38" s="221">
        <f>'расчет цен и скидок'!N38</f>
        <v>0</v>
      </c>
      <c r="O38" s="221">
        <f>'расчет цен и скидок'!O38</f>
        <v>0</v>
      </c>
      <c r="P38" s="232">
        <f>'расчет цен и скидок'!P38</f>
        <v>150</v>
      </c>
      <c r="Q38" s="233">
        <f>'расчет цен и скидок'!Q38</f>
        <v>27</v>
      </c>
      <c r="R38" s="234">
        <f>'расчет цен и скидок'!R38</f>
        <v>177</v>
      </c>
      <c r="S38" s="223">
        <f>'расчет цен и скидок'!S38</f>
        <v>0</v>
      </c>
      <c r="T38" s="224" t="e">
        <f>'расчет цен и скидок'!T38</f>
        <v>#DIV/0!</v>
      </c>
      <c r="U38" s="250"/>
      <c r="V38" s="221"/>
      <c r="W38" s="221"/>
      <c r="X38" s="221"/>
      <c r="Y38" s="225"/>
      <c r="Z38" s="250"/>
      <c r="AA38" s="221"/>
      <c r="AB38" s="221"/>
      <c r="AC38" s="227">
        <f>'расчет цен и скидок'!AC38</f>
        <v>0</v>
      </c>
      <c r="AD38" s="239">
        <f>'расчет цен и скидок'!AD38</f>
        <v>0</v>
      </c>
      <c r="AE38" s="239">
        <f>'расчет цен и скидок'!AE38</f>
        <v>0</v>
      </c>
      <c r="AF38" s="239">
        <f>'расчет цен и скидок'!AF38</f>
        <v>0</v>
      </c>
      <c r="AG38" s="239">
        <f>'расчет цен и скидок'!AG38</f>
        <v>0</v>
      </c>
      <c r="AH38" s="239">
        <f>'расчет цен и скидок'!AH38</f>
        <v>0</v>
      </c>
      <c r="AI38" s="239">
        <f>'расчет цен и скидок'!AI38</f>
        <v>0</v>
      </c>
      <c r="AJ38" s="229">
        <f>'расчет цен и скидок'!AJ38</f>
        <v>0</v>
      </c>
      <c r="AK38" s="227">
        <f>'расчет цен и скидок'!AK38</f>
        <v>0</v>
      </c>
      <c r="AL38" s="239">
        <f>'расчет цен и скидок'!AL38</f>
        <v>0</v>
      </c>
      <c r="AM38" s="239">
        <f>'расчет цен и скидок'!AM38</f>
        <v>0</v>
      </c>
      <c r="AN38" s="239">
        <f>'расчет цен и скидок'!AN38</f>
        <v>0</v>
      </c>
      <c r="AO38" s="227">
        <f>'расчет цен и скидок'!AO38</f>
        <v>0</v>
      </c>
      <c r="AP38" s="239">
        <f>'расчет цен и скидок'!AP38</f>
        <v>0</v>
      </c>
      <c r="AQ38" s="239">
        <f>'расчет цен и скидок'!AQ38</f>
        <v>0</v>
      </c>
      <c r="AR38" s="239">
        <f>'расчет цен и скидок'!AR38</f>
        <v>0</v>
      </c>
      <c r="AS38" s="227">
        <f>'расчет цен и скидок'!AS38</f>
        <v>0</v>
      </c>
      <c r="AT38" s="239">
        <f>'расчет цен и скидок'!AT38</f>
        <v>0</v>
      </c>
      <c r="AU38" s="239">
        <f>'расчет цен и скидок'!AU38</f>
        <v>0</v>
      </c>
      <c r="AV38" s="239">
        <f>'расчет цен и скидок'!AV38</f>
        <v>0</v>
      </c>
      <c r="AW38" s="227">
        <f>'расчет цен и скидок'!AW38</f>
        <v>0</v>
      </c>
      <c r="AX38" s="239">
        <f>'расчет цен и скидок'!AX38</f>
        <v>0</v>
      </c>
      <c r="AY38" s="217">
        <f>'расчет цен и скидок'!AY38</f>
        <v>0</v>
      </c>
      <c r="AZ38" s="227">
        <f>'расчет цен и скидок'!AZ38</f>
        <v>0</v>
      </c>
      <c r="BA38" s="239">
        <f>'расчет цен и скидок'!BA38</f>
        <v>0</v>
      </c>
      <c r="BB38" s="217">
        <f>'расчет цен и скидок'!BB38</f>
        <v>0</v>
      </c>
      <c r="BC38" s="227">
        <f>'расчет цен и скидок'!BC38</f>
        <v>0</v>
      </c>
      <c r="BD38" s="217">
        <f>'расчет цен и скидок'!BD38</f>
        <v>0</v>
      </c>
      <c r="BE38" s="217">
        <f>'расчет цен и скидок'!BE38</f>
        <v>0</v>
      </c>
      <c r="BF38" s="218">
        <f>'расчет цен и скидок'!BF38</f>
        <v>0</v>
      </c>
      <c r="BG38" s="239">
        <f>'расчет цен и скидок'!BG38</f>
        <v>0</v>
      </c>
      <c r="BH38" s="217">
        <f>'расчет цен и скидок'!BH38</f>
        <v>0</v>
      </c>
      <c r="BI38" s="227">
        <f>'расчет цен и скидок'!BI38</f>
        <v>0</v>
      </c>
      <c r="BJ38" s="239">
        <f>'расчет цен и скидок'!BJ38</f>
        <v>0</v>
      </c>
      <c r="BK38" s="217">
        <f>'расчет цен и скидок'!BK38</f>
        <v>0</v>
      </c>
      <c r="BL38" s="217">
        <f>'расчет цен и скидок'!BL38</f>
        <v>0</v>
      </c>
      <c r="BM38" s="217">
        <f>'расчет цен и скидок'!BM38</f>
        <v>0</v>
      </c>
      <c r="BN38" s="217">
        <f>'расчет цен и скидок'!BN38</f>
        <v>0</v>
      </c>
      <c r="BO38" s="217">
        <f>'расчет цен и скидок'!BO38</f>
        <v>0</v>
      </c>
      <c r="BP38" s="217">
        <f>'расчет цен и скидок'!BP38</f>
        <v>0</v>
      </c>
      <c r="BQ38" s="217">
        <f>'расчет цен и скидок'!BQ38</f>
        <v>0</v>
      </c>
      <c r="BR38" s="217">
        <f>'расчет цен и скидок'!BR38</f>
        <v>0</v>
      </c>
      <c r="BS38" s="217">
        <f>'расчет цен и скидок'!BS38</f>
        <v>0</v>
      </c>
      <c r="BT38" s="217">
        <f>'расчет цен и скидок'!BT38</f>
        <v>0</v>
      </c>
      <c r="BU38" s="217">
        <f>'расчет цен и скидок'!BU38</f>
        <v>0</v>
      </c>
      <c r="BV38" s="217">
        <f>'расчет цен и скидок'!BV38</f>
        <v>0</v>
      </c>
      <c r="BW38" s="217">
        <f>'расчет цен и скидок'!BW38</f>
        <v>0</v>
      </c>
      <c r="BX38" s="217">
        <f>'расчет цен и скидок'!BX38</f>
        <v>0</v>
      </c>
      <c r="BY38" s="217">
        <f>'расчет цен и скидок'!BY38</f>
        <v>0</v>
      </c>
      <c r="BZ38" s="217">
        <f>'расчет цен и скидок'!BZ38</f>
        <v>0</v>
      </c>
      <c r="CA38" s="217">
        <f>'расчет цен и скидок'!CA38</f>
        <v>0</v>
      </c>
      <c r="CB38" s="217">
        <f>'расчет цен и скидок'!CB38</f>
        <v>0</v>
      </c>
      <c r="CC38" s="217">
        <f>'расчет цен и скидок'!CC38</f>
        <v>0</v>
      </c>
      <c r="CD38" s="217">
        <f>'расчет цен и скидок'!CD38</f>
        <v>0</v>
      </c>
      <c r="CE38" s="217">
        <f>'расчет цен и скидок'!CE38</f>
        <v>0</v>
      </c>
      <c r="CF38" s="217">
        <f>'расчет цен и скидок'!CF38</f>
        <v>0</v>
      </c>
      <c r="CG38" s="217">
        <f>'расчет цен и скидок'!CG38</f>
        <v>0</v>
      </c>
      <c r="CH38" s="217">
        <f>'расчет цен и скидок'!CH38</f>
        <v>0</v>
      </c>
      <c r="CI38" s="217">
        <f>'расчет цен и скидок'!CI38</f>
        <v>0</v>
      </c>
      <c r="CJ38" s="217">
        <f>'расчет цен и скидок'!CJ38</f>
        <v>0</v>
      </c>
      <c r="CK38" s="217">
        <f>'расчет цен и скидок'!CK38</f>
        <v>0</v>
      </c>
      <c r="CL38" s="217">
        <f>'расчет цен и скидок'!CL38</f>
        <v>0</v>
      </c>
      <c r="CM38" s="217">
        <f>'расчет цен и скидок'!CM38</f>
        <v>0</v>
      </c>
      <c r="CN38" s="217">
        <f>'расчет цен и скидок'!CN38</f>
        <v>0</v>
      </c>
    </row>
    <row r="39" spans="1:92" s="217" customFormat="1" ht="15.75">
      <c r="A39" s="279"/>
      <c r="B39" s="308"/>
      <c r="C39" s="219"/>
      <c r="D39" s="219"/>
      <c r="E39" s="219"/>
      <c r="F39" s="219"/>
      <c r="G39" s="219"/>
      <c r="H39" s="219"/>
      <c r="I39" s="219"/>
      <c r="J39" s="219"/>
      <c r="K39" s="231"/>
      <c r="L39" s="231"/>
      <c r="M39" s="231"/>
      <c r="N39" s="221"/>
      <c r="O39" s="221"/>
      <c r="P39" s="232"/>
      <c r="Q39" s="233"/>
      <c r="R39" s="234"/>
      <c r="S39" s="223">
        <f>'расчет цен и скидок'!S39</f>
        <v>0</v>
      </c>
      <c r="T39" s="224" t="e">
        <f>'расчет цен и скидок'!T39</f>
        <v>#DIV/0!</v>
      </c>
      <c r="U39" s="250"/>
      <c r="V39" s="221"/>
      <c r="W39" s="221"/>
      <c r="X39" s="221"/>
      <c r="Y39" s="225"/>
      <c r="Z39" s="250"/>
      <c r="AA39" s="221"/>
      <c r="AB39" s="221"/>
      <c r="AC39" s="227">
        <f>'расчет цен и скидок'!AC39</f>
        <v>0</v>
      </c>
      <c r="AD39" s="239">
        <f>'расчет цен и скидок'!AD39</f>
        <v>0</v>
      </c>
      <c r="AE39" s="239">
        <f>'расчет цен и скидок'!AE39</f>
        <v>0</v>
      </c>
      <c r="AF39" s="239">
        <f>'расчет цен и скидок'!AF39</f>
        <v>0</v>
      </c>
      <c r="AG39" s="239">
        <f>'расчет цен и скидок'!AG39</f>
        <v>0</v>
      </c>
      <c r="AH39" s="239">
        <f>'расчет цен и скидок'!AH39</f>
        <v>0</v>
      </c>
      <c r="AI39" s="239">
        <f>'расчет цен и скидок'!AI39</f>
        <v>0</v>
      </c>
      <c r="AJ39" s="229" t="e">
        <f>'расчет цен и скидок'!AJ39</f>
        <v>#DIV/0!</v>
      </c>
      <c r="AK39" s="227">
        <f>'расчет цен и скидок'!AK39</f>
        <v>0</v>
      </c>
      <c r="AL39" s="239">
        <f>'расчет цен и скидок'!AL39</f>
        <v>0</v>
      </c>
      <c r="AM39" s="239">
        <f>'расчет цен и скидок'!AM39</f>
        <v>0</v>
      </c>
      <c r="AN39" s="239">
        <f>'расчет цен и скидок'!AN39</f>
        <v>0</v>
      </c>
      <c r="AO39" s="227">
        <f>'расчет цен и скидок'!AO39</f>
        <v>0</v>
      </c>
      <c r="AP39" s="239">
        <f>'расчет цен и скидок'!AP39</f>
        <v>0</v>
      </c>
      <c r="AQ39" s="239">
        <f>'расчет цен и скидок'!AQ39</f>
        <v>0</v>
      </c>
      <c r="AR39" s="239">
        <f>'расчет цен и скидок'!AR39</f>
        <v>0</v>
      </c>
      <c r="AS39" s="227">
        <f>'расчет цен и скидок'!AS39</f>
        <v>0</v>
      </c>
      <c r="AT39" s="239">
        <f>'расчет цен и скидок'!AT39</f>
        <v>0</v>
      </c>
      <c r="AU39" s="239">
        <f>'расчет цен и скидок'!AU39</f>
        <v>0</v>
      </c>
      <c r="AV39" s="239">
        <f>'расчет цен и скидок'!AV39</f>
        <v>0</v>
      </c>
      <c r="AW39" s="227">
        <f>'расчет цен и скидок'!AW39</f>
        <v>0</v>
      </c>
      <c r="AX39" s="239">
        <f>'расчет цен и скидок'!AX39</f>
        <v>0</v>
      </c>
      <c r="AY39" s="217">
        <f>'расчет цен и скидок'!AY39</f>
        <v>0</v>
      </c>
      <c r="AZ39" s="227">
        <f>'расчет цен и скидок'!AZ39</f>
        <v>0</v>
      </c>
      <c r="BA39" s="239">
        <f>'расчет цен и скидок'!BA39</f>
        <v>0</v>
      </c>
      <c r="BB39" s="217">
        <f>'расчет цен и скидок'!BB39</f>
        <v>0</v>
      </c>
      <c r="BC39" s="227">
        <f>'расчет цен и скидок'!BC39</f>
        <v>0</v>
      </c>
      <c r="BD39" s="217">
        <f>'расчет цен и скидок'!BD39</f>
        <v>0</v>
      </c>
      <c r="BE39" s="217">
        <f>'расчет цен и скидок'!BE39</f>
        <v>0</v>
      </c>
      <c r="BF39" s="218">
        <f>'расчет цен и скидок'!BF39</f>
        <v>0</v>
      </c>
      <c r="BG39" s="239">
        <f>'расчет цен и скидок'!BG39</f>
        <v>0</v>
      </c>
      <c r="BH39" s="217">
        <f>'расчет цен и скидок'!BH39</f>
        <v>0</v>
      </c>
      <c r="BI39" s="227">
        <f>'расчет цен и скидок'!BI39</f>
        <v>0</v>
      </c>
      <c r="BJ39" s="239">
        <f>'расчет цен и скидок'!BJ39</f>
        <v>0</v>
      </c>
      <c r="BK39" s="217">
        <f>'расчет цен и скидок'!BK39</f>
        <v>0</v>
      </c>
      <c r="BL39" s="217">
        <f>'расчет цен и скидок'!BL39</f>
        <v>0</v>
      </c>
      <c r="BM39" s="217">
        <f>'расчет цен и скидок'!BM39</f>
        <v>0</v>
      </c>
      <c r="BN39" s="217">
        <f>'расчет цен и скидок'!BN39</f>
        <v>0</v>
      </c>
      <c r="BO39" s="217">
        <f>'расчет цен и скидок'!BO39</f>
        <v>0</v>
      </c>
      <c r="BP39" s="217">
        <f>'расчет цен и скидок'!BP39</f>
        <v>0</v>
      </c>
      <c r="BQ39" s="217">
        <f>'расчет цен и скидок'!BQ39</f>
        <v>0</v>
      </c>
      <c r="BR39" s="217">
        <f>'расчет цен и скидок'!BR39</f>
        <v>0</v>
      </c>
      <c r="BS39" s="217">
        <f>'расчет цен и скидок'!BS39</f>
        <v>0</v>
      </c>
      <c r="BT39" s="217">
        <f>'расчет цен и скидок'!BT39</f>
        <v>0</v>
      </c>
      <c r="BU39" s="217">
        <f>'расчет цен и скидок'!BU39</f>
        <v>0</v>
      </c>
      <c r="BV39" s="217">
        <f>'расчет цен и скидок'!BV39</f>
        <v>0</v>
      </c>
      <c r="BW39" s="217">
        <f>'расчет цен и скидок'!BW39</f>
        <v>0</v>
      </c>
      <c r="BX39" s="217">
        <f>'расчет цен и скидок'!BX39</f>
        <v>0</v>
      </c>
      <c r="BY39" s="217">
        <f>'расчет цен и скидок'!BY39</f>
        <v>0</v>
      </c>
      <c r="BZ39" s="217">
        <f>'расчет цен и скидок'!BZ39</f>
        <v>0</v>
      </c>
      <c r="CA39" s="217">
        <f>'расчет цен и скидок'!CA39</f>
        <v>0</v>
      </c>
      <c r="CB39" s="217">
        <f>'расчет цен и скидок'!CB39</f>
        <v>0</v>
      </c>
      <c r="CC39" s="217">
        <f>'расчет цен и скидок'!CC39</f>
        <v>0</v>
      </c>
      <c r="CD39" s="217">
        <f>'расчет цен и скидок'!CD39</f>
        <v>0</v>
      </c>
      <c r="CE39" s="217">
        <f>'расчет цен и скидок'!CE39</f>
        <v>0</v>
      </c>
      <c r="CF39" s="217">
        <f>'расчет цен и скидок'!CF39</f>
        <v>0</v>
      </c>
      <c r="CG39" s="217">
        <f>'расчет цен и скидок'!CG39</f>
        <v>0</v>
      </c>
      <c r="CH39" s="217">
        <f>'расчет цен и скидок'!CH39</f>
        <v>0</v>
      </c>
      <c r="CI39" s="217">
        <f>'расчет цен и скидок'!CI39</f>
        <v>0</v>
      </c>
      <c r="CJ39" s="217">
        <f>'расчет цен и скидок'!CJ39</f>
        <v>0</v>
      </c>
      <c r="CK39" s="217">
        <f>'расчет цен и скидок'!CK39</f>
        <v>0</v>
      </c>
      <c r="CL39" s="217">
        <f>'расчет цен и скидок'!CL39</f>
        <v>0</v>
      </c>
      <c r="CM39" s="217">
        <f>'расчет цен и скидок'!CM39</f>
        <v>0</v>
      </c>
      <c r="CN39" s="217">
        <f>'расчет цен и скидок'!CN39</f>
        <v>0</v>
      </c>
    </row>
    <row r="40" spans="1:92" s="217" customFormat="1" ht="15.75">
      <c r="A40" s="279"/>
      <c r="B40" s="308"/>
      <c r="C40" s="219"/>
      <c r="D40" s="219"/>
      <c r="E40" s="219"/>
      <c r="F40" s="219"/>
      <c r="G40" s="219"/>
      <c r="H40" s="219"/>
      <c r="I40" s="219"/>
      <c r="J40" s="219"/>
      <c r="K40" s="231"/>
      <c r="L40" s="231"/>
      <c r="M40" s="231"/>
      <c r="N40" s="221"/>
      <c r="O40" s="221"/>
      <c r="P40" s="232"/>
      <c r="Q40" s="233"/>
      <c r="R40" s="234"/>
      <c r="S40" s="223">
        <f>'расчет цен и скидок'!S40</f>
        <v>0</v>
      </c>
      <c r="T40" s="224">
        <f>'расчет цен и скидок'!T40</f>
        <v>0</v>
      </c>
      <c r="U40" s="265" t="str">
        <f>'расчет цен и скидок'!U40</f>
        <v>5% от 10 т (от 7 поддонов) либо от 30 т. накопительно с начало года</v>
      </c>
      <c r="V40" s="266"/>
      <c r="W40" s="266"/>
      <c r="X40" s="266"/>
      <c r="Y40" s="225">
        <f>'расчет цен и скидок'!Y40</f>
        <v>0</v>
      </c>
      <c r="Z40" s="293" t="str">
        <f>'расчет цен и скидок'!Z40</f>
        <v>8% от 20 т (от 14 поддонов)</v>
      </c>
      <c r="AA40" s="266"/>
      <c r="AB40" s="266"/>
      <c r="AC40" s="227">
        <f>'расчет цен и скидок'!AC40</f>
        <v>0</v>
      </c>
      <c r="AD40" s="239">
        <f>'расчет цен и скидок'!AD40</f>
        <v>0</v>
      </c>
      <c r="AE40" s="239">
        <f>'расчет цен и скидок'!AE40</f>
        <v>0</v>
      </c>
      <c r="AF40" s="239">
        <f>'расчет цен и скидок'!AF40</f>
        <v>0</v>
      </c>
      <c r="AG40" s="239">
        <f>'расчет цен и скидок'!AG40</f>
        <v>0</v>
      </c>
      <c r="AH40" s="239">
        <f>'расчет цен и скидок'!AH40</f>
        <v>0</v>
      </c>
      <c r="AI40" s="239">
        <f>'расчет цен и скидок'!AI40</f>
        <v>0</v>
      </c>
      <c r="AJ40" s="229">
        <f>'расчет цен и скидок'!AJ40</f>
        <v>0</v>
      </c>
      <c r="AK40" s="227">
        <f>'расчет цен и скидок'!AK40</f>
        <v>0</v>
      </c>
      <c r="AL40" s="239">
        <f>'расчет цен и скидок'!AL40</f>
        <v>0</v>
      </c>
      <c r="AM40" s="239">
        <f>'расчет цен и скидок'!AM40</f>
        <v>0</v>
      </c>
      <c r="AN40" s="239">
        <f>'расчет цен и скидок'!AN40</f>
        <v>0</v>
      </c>
      <c r="AO40" s="227">
        <f>'расчет цен и скидок'!AO40</f>
        <v>0</v>
      </c>
      <c r="AP40" s="239">
        <f>'расчет цен и скидок'!AP40</f>
        <v>0</v>
      </c>
      <c r="AQ40" s="239">
        <f>'расчет цен и скидок'!AQ40</f>
        <v>0</v>
      </c>
      <c r="AR40" s="239">
        <f>'расчет цен и скидок'!AR40</f>
        <v>0</v>
      </c>
      <c r="AS40" s="227">
        <f>'расчет цен и скидок'!AS40</f>
        <v>0</v>
      </c>
      <c r="AT40" s="239">
        <f>'расчет цен и скидок'!AT40</f>
        <v>0</v>
      </c>
      <c r="AU40" s="239">
        <f>'расчет цен и скидок'!AU40</f>
        <v>0</v>
      </c>
      <c r="AV40" s="239">
        <f>'расчет цен и скидок'!AV40</f>
        <v>0</v>
      </c>
      <c r="AW40" s="227">
        <f>'расчет цен и скидок'!AW40</f>
        <v>0</v>
      </c>
      <c r="AX40" s="239">
        <f>'расчет цен и скидок'!AX40</f>
        <v>0</v>
      </c>
      <c r="AY40" s="217">
        <f>'расчет цен и скидок'!AY40</f>
        <v>0</v>
      </c>
      <c r="AZ40" s="227">
        <f>'расчет цен и скидок'!AZ40</f>
        <v>0</v>
      </c>
      <c r="BA40" s="239">
        <f>'расчет цен и скидок'!BA40</f>
        <v>0</v>
      </c>
      <c r="BB40" s="217">
        <f>'расчет цен и скидок'!BB40</f>
        <v>0</v>
      </c>
      <c r="BC40" s="227">
        <f>'расчет цен и скидок'!BC40</f>
        <v>0</v>
      </c>
      <c r="BD40" s="217">
        <f>'расчет цен и скидок'!BD40</f>
        <v>0</v>
      </c>
      <c r="BE40" s="217">
        <f>'расчет цен и скидок'!BE40</f>
        <v>0</v>
      </c>
      <c r="BF40" s="218">
        <f>'расчет цен и скидок'!BF40</f>
        <v>0</v>
      </c>
      <c r="BG40" s="239">
        <f>'расчет цен и скидок'!BG40</f>
        <v>0</v>
      </c>
      <c r="BH40" s="217">
        <f>'расчет цен и скидок'!BH40</f>
        <v>0</v>
      </c>
      <c r="BI40" s="227">
        <f>'расчет цен и скидок'!BI40</f>
        <v>0</v>
      </c>
      <c r="BJ40" s="239">
        <f>'расчет цен и скидок'!BJ40</f>
        <v>0</v>
      </c>
      <c r="BK40" s="217">
        <f>'расчет цен и скидок'!BK40</f>
        <v>0</v>
      </c>
      <c r="BL40" s="217">
        <f>'расчет цен и скидок'!BL40</f>
        <v>0</v>
      </c>
      <c r="BM40" s="217">
        <f>'расчет цен и скидок'!BM40</f>
        <v>0</v>
      </c>
      <c r="BN40" s="217">
        <f>'расчет цен и скидок'!BN40</f>
        <v>0</v>
      </c>
      <c r="BO40" s="217">
        <f>'расчет цен и скидок'!BO40</f>
        <v>0</v>
      </c>
      <c r="BP40" s="217">
        <f>'расчет цен и скидок'!BP40</f>
        <v>0</v>
      </c>
      <c r="BQ40" s="217">
        <f>'расчет цен и скидок'!BQ40</f>
        <v>0</v>
      </c>
      <c r="BR40" s="217">
        <f>'расчет цен и скидок'!BR40</f>
        <v>0</v>
      </c>
      <c r="BS40" s="217">
        <f>'расчет цен и скидок'!BS40</f>
        <v>0</v>
      </c>
      <c r="BT40" s="217">
        <f>'расчет цен и скидок'!BT40</f>
        <v>0</v>
      </c>
      <c r="BU40" s="217">
        <f>'расчет цен и скидок'!BU40</f>
        <v>0</v>
      </c>
      <c r="BV40" s="217">
        <f>'расчет цен и скидок'!BV40</f>
        <v>0</v>
      </c>
      <c r="BW40" s="217">
        <f>'расчет цен и скидок'!BW40</f>
        <v>0</v>
      </c>
      <c r="BX40" s="217">
        <f>'расчет цен и скидок'!BX40</f>
        <v>0</v>
      </c>
      <c r="BY40" s="217">
        <f>'расчет цен и скидок'!BY40</f>
        <v>0</v>
      </c>
      <c r="BZ40" s="217">
        <f>'расчет цен и скидок'!BZ40</f>
        <v>0</v>
      </c>
      <c r="CA40" s="217">
        <f>'расчет цен и скидок'!CA40</f>
        <v>0</v>
      </c>
      <c r="CB40" s="217">
        <f>'расчет цен и скидок'!CB40</f>
        <v>0</v>
      </c>
      <c r="CC40" s="217">
        <f>'расчет цен и скидок'!CC40</f>
        <v>0</v>
      </c>
      <c r="CD40" s="217">
        <f>'расчет цен и скидок'!CD40</f>
        <v>0</v>
      </c>
      <c r="CE40" s="217">
        <f>'расчет цен и скидок'!CE40</f>
        <v>0</v>
      </c>
      <c r="CF40" s="217">
        <f>'расчет цен и скидок'!CF40</f>
        <v>0</v>
      </c>
      <c r="CG40" s="217">
        <f>'расчет цен и скидок'!CG40</f>
        <v>0</v>
      </c>
      <c r="CH40" s="217">
        <f>'расчет цен и скидок'!CH40</f>
        <v>0</v>
      </c>
      <c r="CI40" s="217">
        <f>'расчет цен и скидок'!CI40</f>
        <v>0</v>
      </c>
      <c r="CJ40" s="217">
        <f>'расчет цен и скидок'!CJ40</f>
        <v>0</v>
      </c>
      <c r="CK40" s="217">
        <f>'расчет цен и скидок'!CK40</f>
        <v>0</v>
      </c>
      <c r="CL40" s="217">
        <f>'расчет цен и скидок'!CL40</f>
        <v>0</v>
      </c>
      <c r="CM40" s="217">
        <f>'расчет цен и скидок'!CM40</f>
        <v>0</v>
      </c>
      <c r="CN40" s="217">
        <f>'расчет цен и скидок'!CN40</f>
        <v>0</v>
      </c>
    </row>
    <row r="41" spans="1:92" s="217" customFormat="1" ht="38.25">
      <c r="A41" s="280" t="str">
        <f>'расчет цен и скидок'!A41</f>
        <v>ШБ 5</v>
      </c>
      <c r="B41" s="309" t="str">
        <f>'расчет цен и скидок'!B41</f>
        <v>Стоимость 1 тонны без учета стоимости поддонов (47/63*385 шт кирпичей)</v>
      </c>
      <c r="C41" s="219">
        <f>'расчет цен и скидок'!C41</f>
        <v>0</v>
      </c>
      <c r="D41" s="219">
        <f>'расчет цен и скидок'!D41</f>
        <v>0</v>
      </c>
      <c r="E41" s="219">
        <f>'расчет цен и скидок'!E41</f>
        <v>0</v>
      </c>
      <c r="F41" s="219">
        <f>'расчет цен и скидок'!F41</f>
        <v>0</v>
      </c>
      <c r="G41" s="219">
        <f>'расчет цен и скидок'!G41</f>
        <v>0</v>
      </c>
      <c r="H41" s="219">
        <f>'расчет цен и скидок'!H41</f>
        <v>0</v>
      </c>
      <c r="I41" s="219">
        <f>'расчет цен и скидок'!I41</f>
        <v>0</v>
      </c>
      <c r="J41" s="219">
        <f>'расчет цен и скидок'!J41</f>
        <v>0</v>
      </c>
      <c r="K41" s="231">
        <f>'расчет цен и скидок'!K41</f>
        <v>4200</v>
      </c>
      <c r="L41" s="231">
        <f>'расчет цен и скидок'!L41</f>
        <v>4956</v>
      </c>
      <c r="M41" s="231">
        <f>'расчет цен и скидок'!M41</f>
        <v>0</v>
      </c>
      <c r="N41" s="221">
        <f>'расчет цен и скидок'!N41</f>
        <v>4494</v>
      </c>
      <c r="O41" s="221">
        <f>'расчет цен и скидок'!O41</f>
        <v>5302.92</v>
      </c>
      <c r="P41" s="232">
        <f>'расчет цен и скидок'!P41</f>
        <v>4500</v>
      </c>
      <c r="Q41" s="233">
        <f>'расчет цен и скидок'!Q41</f>
        <v>810</v>
      </c>
      <c r="R41" s="234">
        <f>'расчет цен и скидок'!R41</f>
        <v>5310</v>
      </c>
      <c r="S41" s="223">
        <f>'расчет цен и скидок'!S41</f>
        <v>0.07</v>
      </c>
      <c r="T41" s="224">
        <f>'расчет цен и скидок'!T41</f>
        <v>0.07000000000000002</v>
      </c>
      <c r="U41" s="294">
        <f>'расчет цен и скидок'!U41</f>
        <v>0.05</v>
      </c>
      <c r="V41" s="292">
        <f>'расчет цен и скидок'!V41</f>
        <v>4275</v>
      </c>
      <c r="W41" s="292">
        <f>'расчет цен и скидок'!W41</f>
        <v>4275</v>
      </c>
      <c r="X41" s="292">
        <f>'расчет цен и скидок'!X41</f>
        <v>5044.5</v>
      </c>
      <c r="Y41" s="290">
        <f>'расчет цен и скидок'!Y41</f>
        <v>0</v>
      </c>
      <c r="Z41" s="291">
        <f>'расчет цен и скидок'!Z41</f>
        <v>0.08</v>
      </c>
      <c r="AA41" s="292">
        <f>'расчет цен и скидок'!AA41</f>
        <v>4140</v>
      </c>
      <c r="AB41" s="292">
        <f>'расчет цен и скидок'!AB41</f>
        <v>4885.2</v>
      </c>
      <c r="AC41" s="227">
        <f>'расчет цен и скидок'!AC41</f>
        <v>0</v>
      </c>
      <c r="AD41" s="239">
        <f>'расчет цен и скидок'!AD41</f>
        <v>2460</v>
      </c>
      <c r="AE41" s="239">
        <f>'расчет цен и скидок'!AE41</f>
        <v>3054.51313755796</v>
      </c>
      <c r="AF41" s="239">
        <f>'расчет цен и скидок'!AF41</f>
        <v>3604.3255023183924</v>
      </c>
      <c r="AG41" s="239">
        <f>'расчет цен и скидок'!AG41</f>
        <v>594.5131375579599</v>
      </c>
      <c r="AH41" s="239">
        <f>'расчет цен и скидок'!AH41</f>
        <v>2760</v>
      </c>
      <c r="AI41" s="239">
        <f>'расчет цен и скидок'!AI41</f>
        <v>3443.690108191654</v>
      </c>
      <c r="AJ41" s="229">
        <f>'расчет цен и скидок'!AJ41</f>
        <v>0.12195121951219512</v>
      </c>
      <c r="AK41" s="227">
        <f>'расчет цен и скидок'!AK41</f>
        <v>0</v>
      </c>
      <c r="AL41" s="239">
        <f>'расчет цен и скидок'!AL41</f>
        <v>2540</v>
      </c>
      <c r="AM41" s="239">
        <f>'расчет цен и скидок'!AM41</f>
        <v>2795</v>
      </c>
      <c r="AN41" s="242">
        <f>'расчет цен и скидок'!AN41</f>
        <v>0.10039370078740158</v>
      </c>
      <c r="AO41" s="227">
        <f>'расчет цен и скидок'!AO41</f>
        <v>0</v>
      </c>
      <c r="AP41" s="239">
        <f>'расчет цен и скидок'!AP41</f>
        <v>2700</v>
      </c>
      <c r="AQ41" s="239">
        <f>'расчет цен и скидок'!AQ41</f>
        <v>0</v>
      </c>
      <c r="AR41" s="242">
        <f>'расчет цен и скидок'!AR41</f>
        <v>-1</v>
      </c>
      <c r="AS41" s="227">
        <f>'расчет цен и скидок'!AS41</f>
        <v>0</v>
      </c>
      <c r="AT41" s="239">
        <f>'расчет цен и скидок'!AT41</f>
        <v>4322.033898305085</v>
      </c>
      <c r="AU41" s="239">
        <f>'расчет цен и скидок'!AU41</f>
        <v>0</v>
      </c>
      <c r="AV41" s="242">
        <f>'расчет цен и скидок'!AV41</f>
        <v>-1</v>
      </c>
      <c r="AW41" s="227">
        <f>'расчет цен и скидок'!AW41</f>
        <v>0</v>
      </c>
      <c r="AX41" s="239">
        <f>'расчет цен и скидок'!AX41</f>
        <v>0</v>
      </c>
      <c r="AY41" s="217">
        <f>'расчет цен и скидок'!AY41</f>
        <v>0</v>
      </c>
      <c r="AZ41" s="227">
        <f>'расчет цен и скидок'!AZ41</f>
        <v>0</v>
      </c>
      <c r="BA41" s="239">
        <f>'расчет цен и скидок'!BA41</f>
        <v>0</v>
      </c>
      <c r="BB41" s="217">
        <f>'расчет цен и скидок'!BB41</f>
        <v>0</v>
      </c>
      <c r="BC41" s="227">
        <f>'расчет цен и скидок'!BC41</f>
        <v>0</v>
      </c>
      <c r="BD41" s="217">
        <f>'расчет цен и скидок'!BD41</f>
        <v>0</v>
      </c>
      <c r="BE41" s="217">
        <f>'расчет цен и скидок'!BE41</f>
        <v>0</v>
      </c>
      <c r="BF41" s="218">
        <f>'расчет цен и скидок'!BF41</f>
        <v>0</v>
      </c>
      <c r="BG41" s="239">
        <f>'расчет цен и скидок'!BG41</f>
        <v>0</v>
      </c>
      <c r="BH41" s="217">
        <f>'расчет цен и скидок'!BH41</f>
        <v>0</v>
      </c>
      <c r="BI41" s="227">
        <f>'расчет цен и скидок'!BI41</f>
        <v>0</v>
      </c>
      <c r="BJ41" s="239">
        <f>'расчет цен и скидок'!BJ41</f>
        <v>0</v>
      </c>
      <c r="BK41" s="217">
        <f>'расчет цен и скидок'!BK41</f>
        <v>0</v>
      </c>
      <c r="BL41" s="217">
        <f>'расчет цен и скидок'!BL41</f>
        <v>0</v>
      </c>
      <c r="BM41" s="217">
        <f>'расчет цен и скидок'!BM41</f>
        <v>0</v>
      </c>
      <c r="BN41" s="217">
        <f>'расчет цен и скидок'!BN41</f>
        <v>0</v>
      </c>
      <c r="BO41" s="217">
        <f>'расчет цен и скидок'!BO41</f>
        <v>0</v>
      </c>
      <c r="BP41" s="217">
        <f>'расчет цен и скидок'!BP41</f>
        <v>0</v>
      </c>
      <c r="BQ41" s="217">
        <f>'расчет цен и скидок'!BQ41</f>
        <v>0</v>
      </c>
      <c r="BR41" s="217">
        <f>'расчет цен и скидок'!BR41</f>
        <v>0</v>
      </c>
      <c r="BS41" s="217">
        <f>'расчет цен и скидок'!BS41</f>
        <v>0</v>
      </c>
      <c r="BT41" s="217">
        <f>'расчет цен и скидок'!BT41</f>
        <v>0</v>
      </c>
      <c r="BU41" s="217">
        <f>'расчет цен и скидок'!BU41</f>
        <v>0</v>
      </c>
      <c r="BV41" s="217">
        <f>'расчет цен и скидок'!BV41</f>
        <v>0</v>
      </c>
      <c r="BW41" s="217">
        <f>'расчет цен и скидок'!BW41</f>
        <v>0</v>
      </c>
      <c r="BX41" s="217">
        <f>'расчет цен и скидок'!BX41</f>
        <v>0</v>
      </c>
      <c r="BY41" s="217">
        <f>'расчет цен и скидок'!BY41</f>
        <v>0</v>
      </c>
      <c r="BZ41" s="217">
        <f>'расчет цен и скидок'!BZ41</f>
        <v>0</v>
      </c>
      <c r="CA41" s="217">
        <f>'расчет цен и скидок'!CA41</f>
        <v>0</v>
      </c>
      <c r="CB41" s="217">
        <f>'расчет цен и скидок'!CB41</f>
        <v>0</v>
      </c>
      <c r="CC41" s="217">
        <f>'расчет цен и скидок'!CC41</f>
        <v>0</v>
      </c>
      <c r="CD41" s="217">
        <f>'расчет цен и скидок'!CD41</f>
        <v>0</v>
      </c>
      <c r="CE41" s="217">
        <f>'расчет цен и скидок'!CE41</f>
        <v>0</v>
      </c>
      <c r="CF41" s="217">
        <f>'расчет цен и скидок'!CF41</f>
        <v>0</v>
      </c>
      <c r="CG41" s="217">
        <f>'расчет цен и скидок'!CG41</f>
        <v>0</v>
      </c>
      <c r="CH41" s="217">
        <f>'расчет цен и скидок'!CH41</f>
        <v>0</v>
      </c>
      <c r="CI41" s="217">
        <f>'расчет цен и скидок'!CI41</f>
        <v>0</v>
      </c>
      <c r="CJ41" s="217">
        <f>'расчет цен и скидок'!CJ41</f>
        <v>0</v>
      </c>
      <c r="CK41" s="217">
        <f>'расчет цен и скидок'!CK41</f>
        <v>0</v>
      </c>
      <c r="CL41" s="217">
        <f>'расчет цен и скидок'!CL41</f>
        <v>0</v>
      </c>
      <c r="CM41" s="217">
        <f>'расчет цен и скидок'!CM41</f>
        <v>0</v>
      </c>
      <c r="CN41" s="217">
        <f>'расчет цен и скидок'!CN41</f>
        <v>0</v>
      </c>
    </row>
    <row r="42" spans="1:92" s="217" customFormat="1" ht="15.75">
      <c r="A42" s="280" t="str">
        <f>'расчет цен и скидок'!A42</f>
        <v>ШБ 5</v>
      </c>
      <c r="B42" s="309" t="str">
        <f>'расчет цен и скидок'!B42</f>
        <v>Стоимость 1 т с учетом поддона</v>
      </c>
      <c r="C42" s="219">
        <f>'расчет цен и скидок'!C42</f>
        <v>3714.9303174603174</v>
      </c>
      <c r="D42" s="219">
        <f>'расчет цен и скидок'!D42</f>
        <v>4049.32371441315</v>
      </c>
      <c r="E42" s="267">
        <f>'расчет цен и скидок'!E42</f>
        <v>0.46762546893037066</v>
      </c>
      <c r="F42" s="240">
        <f>'расчет цен и скидок'!F42</f>
        <v>0.34642886904795184</v>
      </c>
      <c r="G42" s="267">
        <f>'расчет цен и скидок'!G42</f>
        <v>0.3979212411042681</v>
      </c>
      <c r="H42" s="240">
        <f>'расчет цен и скидок'!H42</f>
        <v>0.2824808205665087</v>
      </c>
      <c r="I42" s="267">
        <f>'расчет цен и скидок'!I42</f>
        <v>0.36885426251452685</v>
      </c>
      <c r="J42" s="240">
        <f>'расчет цен и скидок'!J42</f>
        <v>0.2558141948246226</v>
      </c>
      <c r="K42" s="231">
        <f>'расчет цен и скидок'!K42</f>
        <v>4326.444920634921</v>
      </c>
      <c r="L42" s="231">
        <f>'расчет цен и скидок'!L42</f>
        <v>5105.206349206349</v>
      </c>
      <c r="M42" s="231">
        <f>'расчет цен и скидок'!M42</f>
        <v>0</v>
      </c>
      <c r="N42" s="241">
        <f>'расчет цен и скидок'!N42</f>
        <v>4620.444920634921</v>
      </c>
      <c r="O42" s="241">
        <f>'расчет цен и скидок'!O42</f>
        <v>5452.126349206349</v>
      </c>
      <c r="P42" s="232">
        <f>'расчет цен и скидок'!P42</f>
        <v>4620.45</v>
      </c>
      <c r="Q42" s="233">
        <f>'расчет цен и скидок'!Q42</f>
        <v>831.6763492063492</v>
      </c>
      <c r="R42" s="234">
        <f>'расчет цен и скидок'!R42</f>
        <v>5452.126349206349</v>
      </c>
      <c r="S42" s="223">
        <f>'расчет цен и скидок'!S42</f>
        <v>0</v>
      </c>
      <c r="T42" s="224">
        <f>'расчет цен и скидок'!T42</f>
        <v>0.06795415822005549</v>
      </c>
      <c r="U42" s="295">
        <f>'расчет цен и скидок'!U42</f>
        <v>0.05</v>
      </c>
      <c r="V42" s="292">
        <f>'расчет цен и скидок'!V42</f>
        <v>4400.548148148148</v>
      </c>
      <c r="W42" s="292">
        <f>'расчет цен и скидок'!W42</f>
        <v>4401</v>
      </c>
      <c r="X42" s="292">
        <f>'расчет цен и скидок'!X42</f>
        <v>5193.179999999999</v>
      </c>
      <c r="Y42" s="290">
        <f>'расчет цен и скидок'!Y42</f>
        <v>0</v>
      </c>
      <c r="Z42" s="291">
        <f>'расчет цен и скидок'!Z42</f>
        <v>0.08</v>
      </c>
      <c r="AA42" s="292">
        <f>'расчет цен и скидок'!AA42</f>
        <v>4309.49</v>
      </c>
      <c r="AB42" s="292">
        <f>'расчет цен и скидок'!AB42</f>
        <v>5085.1982</v>
      </c>
      <c r="AC42" s="227">
        <f>'расчет цен и скидок'!AC42</f>
        <v>0</v>
      </c>
      <c r="AD42" s="239">
        <f>'расчет цен и скидок'!AD42</f>
        <v>0</v>
      </c>
      <c r="AE42" s="239">
        <f>'расчет цен и скидок'!AE42</f>
        <v>0</v>
      </c>
      <c r="AF42" s="239">
        <f>'расчет цен и скидок'!AF42</f>
        <v>0</v>
      </c>
      <c r="AG42" s="239">
        <f>'расчет цен и скидок'!AG42</f>
        <v>0</v>
      </c>
      <c r="AH42" s="239">
        <f>'расчет цен и скидок'!AH42</f>
        <v>0</v>
      </c>
      <c r="AI42" s="239">
        <f>'расчет цен и скидок'!AI42</f>
        <v>0</v>
      </c>
      <c r="AJ42" s="229">
        <f>'расчет цен и скидок'!AJ42</f>
        <v>0</v>
      </c>
      <c r="AK42" s="227">
        <f>'расчет цен и скидок'!AK42</f>
        <v>0</v>
      </c>
      <c r="AL42" s="239">
        <f>'расчет цен и скидок'!AL42</f>
        <v>0</v>
      </c>
      <c r="AM42" s="239">
        <f>'расчет цен и скидок'!AM42</f>
        <v>0</v>
      </c>
      <c r="AN42" s="242">
        <f>'расчет цен и скидок'!AN42</f>
        <v>0</v>
      </c>
      <c r="AO42" s="227">
        <f>'расчет цен и скидок'!AO42</f>
        <v>0</v>
      </c>
      <c r="AP42" s="239">
        <f>'расчет цен и скидок'!AP42</f>
        <v>0</v>
      </c>
      <c r="AQ42" s="239">
        <f>'расчет цен и скидок'!AQ42</f>
        <v>0</v>
      </c>
      <c r="AR42" s="242">
        <f>'расчет цен и скидок'!AR42</f>
        <v>0</v>
      </c>
      <c r="AS42" s="227">
        <f>'расчет цен и скидок'!AS42</f>
        <v>0</v>
      </c>
      <c r="AT42" s="239">
        <f>'расчет цен и скидок'!AT42</f>
        <v>0</v>
      </c>
      <c r="AU42" s="239">
        <f>'расчет цен и скидок'!AU42</f>
        <v>0</v>
      </c>
      <c r="AV42" s="242">
        <f>'расчет цен и скидок'!AV42</f>
        <v>0</v>
      </c>
      <c r="AW42" s="227">
        <f>'расчет цен и скидок'!AW42</f>
        <v>0</v>
      </c>
      <c r="AX42" s="239">
        <f>'расчет цен и скидок'!AX42</f>
        <v>0</v>
      </c>
      <c r="AY42" s="217">
        <f>'расчет цен и скидок'!AY42</f>
        <v>0</v>
      </c>
      <c r="AZ42" s="227">
        <f>'расчет цен и скидок'!AZ42</f>
        <v>0</v>
      </c>
      <c r="BA42" s="239">
        <f>'расчет цен и скидок'!BA42</f>
        <v>0</v>
      </c>
      <c r="BB42" s="217">
        <f>'расчет цен и скидок'!BB42</f>
        <v>0</v>
      </c>
      <c r="BC42" s="227">
        <f>'расчет цен и скидок'!BC42</f>
        <v>0</v>
      </c>
      <c r="BD42" s="217">
        <f>'расчет цен и скидок'!BD42</f>
        <v>0</v>
      </c>
      <c r="BE42" s="217">
        <f>'расчет цен и скидок'!BE42</f>
        <v>0</v>
      </c>
      <c r="BF42" s="218">
        <f>'расчет цен и скидок'!BF42</f>
        <v>0</v>
      </c>
      <c r="BG42" s="239">
        <f>'расчет цен и скидок'!BG42</f>
        <v>5384.615384615385</v>
      </c>
      <c r="BH42" s="217" t="str">
        <f>'расчет цен и скидок'!BH42</f>
        <v>в т.ч. Поддон и НДС; если береш больше поддона</v>
      </c>
      <c r="BI42" s="227">
        <f>'расчет цен и скидок'!BI42</f>
        <v>0</v>
      </c>
      <c r="BJ42" s="239">
        <f>'расчет цен и скидок'!BJ42</f>
        <v>0</v>
      </c>
      <c r="BK42" s="217">
        <f>'расчет цен и скидок'!BK42</f>
        <v>5900</v>
      </c>
      <c r="BL42" s="217">
        <f>'расчет цен и скидок'!BL42</f>
        <v>0</v>
      </c>
      <c r="BM42" s="217">
        <f>'расчет цен и скидок'!BM42</f>
        <v>0</v>
      </c>
      <c r="BN42" s="217">
        <f>'расчет цен и скидок'!BN42</f>
        <v>0</v>
      </c>
      <c r="BO42" s="217">
        <f>'расчет цен и скидок'!BO42</f>
        <v>0</v>
      </c>
      <c r="BP42" s="217">
        <f>'расчет цен и скидок'!BP42</f>
        <v>0</v>
      </c>
      <c r="BQ42" s="217">
        <f>'расчет цен и скидок'!BQ42</f>
        <v>0</v>
      </c>
      <c r="BR42" s="217">
        <f>'расчет цен и скидок'!BR42</f>
        <v>0</v>
      </c>
      <c r="BS42" s="217">
        <f>'расчет цен и скидок'!BS42</f>
        <v>0</v>
      </c>
      <c r="BT42" s="217">
        <f>'расчет цен и скидок'!BT42</f>
        <v>0</v>
      </c>
      <c r="BU42" s="217">
        <f>'расчет цен и скидок'!BU42</f>
        <v>0</v>
      </c>
      <c r="BV42" s="217">
        <f>'расчет цен и скидок'!BV42</f>
        <v>0</v>
      </c>
      <c r="BW42" s="217">
        <f>'расчет цен и скидок'!BW42</f>
        <v>0</v>
      </c>
      <c r="BX42" s="217">
        <f>'расчет цен и скидок'!BX42</f>
        <v>0</v>
      </c>
      <c r="BY42" s="217">
        <f>'расчет цен и скидок'!BY42</f>
        <v>0</v>
      </c>
      <c r="BZ42" s="217">
        <f>'расчет цен и скидок'!BZ42</f>
        <v>0</v>
      </c>
      <c r="CA42" s="217">
        <f>'расчет цен и скидок'!CA42</f>
        <v>0</v>
      </c>
      <c r="CB42" s="217">
        <f>'расчет цен и скидок'!CB42</f>
        <v>0</v>
      </c>
      <c r="CC42" s="217">
        <f>'расчет цен и скидок'!CC42</f>
        <v>0</v>
      </c>
      <c r="CD42" s="217">
        <f>'расчет цен и скидок'!CD42</f>
        <v>0</v>
      </c>
      <c r="CE42" s="217">
        <f>'расчет цен и скидок'!CE42</f>
        <v>0</v>
      </c>
      <c r="CF42" s="217">
        <f>'расчет цен и скидок'!CF42</f>
        <v>0</v>
      </c>
      <c r="CG42" s="217">
        <f>'расчет цен и скидок'!CG42</f>
        <v>0</v>
      </c>
      <c r="CH42" s="217">
        <f>'расчет цен и скидок'!CH42</f>
        <v>0</v>
      </c>
      <c r="CI42" s="217">
        <f>'расчет цен и скидок'!CI42</f>
        <v>0</v>
      </c>
      <c r="CJ42" s="217">
        <f>'расчет цен и скидок'!CJ42</f>
        <v>0</v>
      </c>
      <c r="CK42" s="217">
        <f>'расчет цен и скидок'!CK42</f>
        <v>0</v>
      </c>
      <c r="CL42" s="217">
        <f>'расчет цен и скидок'!CL42</f>
        <v>0</v>
      </c>
      <c r="CM42" s="217">
        <f>'расчет цен и скидок'!CM42</f>
        <v>0</v>
      </c>
      <c r="CN42" s="217">
        <f>'расчет цен и скидок'!CN42</f>
        <v>0</v>
      </c>
    </row>
    <row r="43" spans="1:92" s="217" customFormat="1" ht="25.5">
      <c r="A43" s="279" t="str">
        <f>'расчет цен и скидок'!A43</f>
        <v>ШБ 5</v>
      </c>
      <c r="B43" s="309" t="str">
        <f>'расчет цен и скидок'!B43</f>
        <v>Стоимость 1 кирпича без учета упаковки (поддона)</v>
      </c>
      <c r="C43" s="219">
        <f>'расчет цен и скидок'!C43</f>
        <v>0</v>
      </c>
      <c r="D43" s="219">
        <f>'расчет цен и скидок'!D43</f>
        <v>0</v>
      </c>
      <c r="E43" s="219">
        <f>'расчет цен и скидок'!E43</f>
        <v>0</v>
      </c>
      <c r="F43" s="219">
        <f>'расчет цен и скидок'!F43</f>
        <v>0</v>
      </c>
      <c r="G43" s="219">
        <f>'расчет цен и скидок'!G43</f>
        <v>0</v>
      </c>
      <c r="H43" s="219">
        <f>'расчет цен и скидок'!H43</f>
        <v>0</v>
      </c>
      <c r="I43" s="219">
        <f>'расчет цен и скидок'!I43</f>
        <v>0</v>
      </c>
      <c r="J43" s="219">
        <f>'расчет цен и скидок'!J43</f>
        <v>0</v>
      </c>
      <c r="K43" s="231">
        <f>'расчет цен и скидок'!K43</f>
        <v>14.622823984526114</v>
      </c>
      <c r="L43" s="241">
        <f>'расчет цен и скидок'!L43</f>
        <v>17.254932301740816</v>
      </c>
      <c r="M43" s="231">
        <f>'расчет цен и скидок'!M43</f>
        <v>0</v>
      </c>
      <c r="N43" s="231">
        <f>'расчет цен и скидок'!N43</f>
        <v>15.646421663442942</v>
      </c>
      <c r="O43" s="241">
        <f>'расчет цен и скидок'!O43</f>
        <v>18.46277756286267</v>
      </c>
      <c r="P43" s="243">
        <f>'расчет цен и скидок'!P43</f>
        <v>15.646421663442942</v>
      </c>
      <c r="Q43" s="243">
        <f>'расчет цен и скидок'!Q43</f>
        <v>2.8163558994197295</v>
      </c>
      <c r="R43" s="282">
        <f>'расчет цен и скидок'!R43</f>
        <v>18.46277756286267</v>
      </c>
      <c r="S43" s="223">
        <f>'расчет цен и скидок'!S43</f>
        <v>0.07</v>
      </c>
      <c r="T43" s="224">
        <f>'расчет цен и скидок'!T43</f>
        <v>0.06999999999999981</v>
      </c>
      <c r="U43" s="295">
        <f>'расчет цен и скидок'!U43</f>
        <v>0.05</v>
      </c>
      <c r="V43" s="296">
        <f>'расчет цен и скидок'!V43</f>
        <v>14.864100580270794</v>
      </c>
      <c r="W43" s="289">
        <f>'расчет цен и скидок'!W43</f>
        <v>14.864100580270794</v>
      </c>
      <c r="X43" s="243">
        <f>'расчет цен и скидок'!X43</f>
        <v>17.539638684719534</v>
      </c>
      <c r="Y43" s="290">
        <f>'расчет цен и скидок'!Y43</f>
        <v>0</v>
      </c>
      <c r="Z43" s="295">
        <f>'расчет цен и скидок'!Z43</f>
        <v>0.08</v>
      </c>
      <c r="AA43" s="289">
        <f>'расчет цен и скидок'!AA43</f>
        <v>14.394707930367506</v>
      </c>
      <c r="AB43" s="243">
        <f>'расчет цен и скидок'!AB43</f>
        <v>16.985755357833657</v>
      </c>
      <c r="AC43" s="227">
        <f>'расчет цен и скидок'!AC43</f>
        <v>0</v>
      </c>
      <c r="AD43" s="239">
        <f>'расчет цен и скидок'!AD43</f>
        <v>0</v>
      </c>
      <c r="AE43" s="239">
        <f>'расчет цен и скидок'!AE43</f>
        <v>0</v>
      </c>
      <c r="AF43" s="239">
        <f>'расчет цен и скидок'!AF43</f>
        <v>0</v>
      </c>
      <c r="AG43" s="239">
        <f>'расчет цен и скидок'!AG43</f>
        <v>0</v>
      </c>
      <c r="AH43" s="239">
        <f>'расчет цен и скидок'!AH43</f>
        <v>0</v>
      </c>
      <c r="AI43" s="239">
        <f>'расчет цен и скидок'!AI43</f>
        <v>0</v>
      </c>
      <c r="AJ43" s="229" t="e">
        <f>'расчет цен и скидок'!AJ43</f>
        <v>#DIV/0!</v>
      </c>
      <c r="AK43" s="227">
        <f>'расчет цен и скидок'!AK43</f>
        <v>0</v>
      </c>
      <c r="AL43" s="239">
        <f>'расчет цен и скидок'!AL43</f>
        <v>0</v>
      </c>
      <c r="AM43" s="239">
        <f>'расчет цен и скидок'!AM43</f>
        <v>0</v>
      </c>
      <c r="AN43" s="239">
        <f>'расчет цен и скидок'!AN43</f>
        <v>0</v>
      </c>
      <c r="AO43" s="227">
        <f>'расчет цен и скидок'!AO43</f>
        <v>0</v>
      </c>
      <c r="AP43" s="239">
        <f>'расчет цен и скидок'!AP43</f>
        <v>0</v>
      </c>
      <c r="AQ43" s="239">
        <f>'расчет цен и скидок'!AQ43</f>
        <v>0</v>
      </c>
      <c r="AR43" s="239">
        <f>'расчет цен и скидок'!AR43</f>
        <v>0</v>
      </c>
      <c r="AS43" s="227">
        <f>'расчет цен и скидок'!AS43</f>
        <v>0</v>
      </c>
      <c r="AT43" s="239">
        <f>'расчет цен и скидок'!AT43</f>
        <v>0</v>
      </c>
      <c r="AU43" s="239">
        <f>'расчет цен и скидок'!AU43</f>
        <v>0</v>
      </c>
      <c r="AV43" s="239">
        <f>'расчет цен и скидок'!AV43</f>
        <v>0</v>
      </c>
      <c r="AW43" s="227">
        <f>'расчет цен и скидок'!AW43</f>
        <v>0</v>
      </c>
      <c r="AX43" s="239">
        <f>'расчет цен и скидок'!AX43</f>
        <v>0</v>
      </c>
      <c r="AY43" s="217">
        <f>'расчет цен и скидок'!AY43</f>
        <v>0</v>
      </c>
      <c r="AZ43" s="227">
        <f>'расчет цен и скидок'!AZ43</f>
        <v>0</v>
      </c>
      <c r="BA43" s="239">
        <f>'расчет цен и скидок'!BA43</f>
        <v>0</v>
      </c>
      <c r="BB43" s="217">
        <f>'расчет цен и скидок'!BB43</f>
        <v>0</v>
      </c>
      <c r="BC43" s="227">
        <f>'расчет цен и скидок'!BC43</f>
        <v>0</v>
      </c>
      <c r="BD43" s="217">
        <f>'расчет цен и скидок'!BD43</f>
        <v>0</v>
      </c>
      <c r="BE43" s="217">
        <f>'расчет цен и скидок'!BE43</f>
        <v>0</v>
      </c>
      <c r="BF43" s="218">
        <f>'расчет цен и скидок'!BF43</f>
        <v>0</v>
      </c>
      <c r="BG43" s="239">
        <f>'расчет цен и скидок'!BG43</f>
        <v>0</v>
      </c>
      <c r="BH43" s="217">
        <f>'расчет цен и скидок'!BH43</f>
        <v>0</v>
      </c>
      <c r="BI43" s="227">
        <f>'расчет цен и скидок'!BI43</f>
        <v>0</v>
      </c>
      <c r="BJ43" s="239">
        <f>'расчет цен и скидок'!BJ43</f>
        <v>0</v>
      </c>
      <c r="BK43" s="217">
        <f>'расчет цен и скидок'!BK43</f>
        <v>0</v>
      </c>
      <c r="BL43" s="217">
        <f>'расчет цен и скидок'!BL43</f>
        <v>0</v>
      </c>
      <c r="BM43" s="217">
        <f>'расчет цен и скидок'!BM43</f>
        <v>0</v>
      </c>
      <c r="BN43" s="217">
        <f>'расчет цен и скидок'!BN43</f>
        <v>0</v>
      </c>
      <c r="BO43" s="217">
        <f>'расчет цен и скидок'!BO43</f>
        <v>0</v>
      </c>
      <c r="BP43" s="217">
        <f>'расчет цен и скидок'!BP43</f>
        <v>0</v>
      </c>
      <c r="BQ43" s="217">
        <f>'расчет цен и скидок'!BQ43</f>
        <v>0</v>
      </c>
      <c r="BR43" s="217">
        <f>'расчет цен и скидок'!BR43</f>
        <v>0</v>
      </c>
      <c r="BS43" s="217">
        <f>'расчет цен и скидок'!BS43</f>
        <v>0</v>
      </c>
      <c r="BT43" s="217">
        <f>'расчет цен и скидок'!BT43</f>
        <v>0</v>
      </c>
      <c r="BU43" s="217">
        <f>'расчет цен и скидок'!BU43</f>
        <v>0</v>
      </c>
      <c r="BV43" s="217">
        <f>'расчет цен и скидок'!BV43</f>
        <v>0</v>
      </c>
      <c r="BW43" s="217">
        <f>'расчет цен и скидок'!BW43</f>
        <v>0</v>
      </c>
      <c r="BX43" s="217">
        <f>'расчет цен и скидок'!BX43</f>
        <v>0</v>
      </c>
      <c r="BY43" s="217">
        <f>'расчет цен и скидок'!BY43</f>
        <v>0</v>
      </c>
      <c r="BZ43" s="217">
        <f>'расчет цен и скидок'!BZ43</f>
        <v>0</v>
      </c>
      <c r="CA43" s="217">
        <f>'расчет цен и скидок'!CA43</f>
        <v>0</v>
      </c>
      <c r="CB43" s="217">
        <f>'расчет цен и скидок'!CB43</f>
        <v>0</v>
      </c>
      <c r="CC43" s="217">
        <f>'расчет цен и скидок'!CC43</f>
        <v>0</v>
      </c>
      <c r="CD43" s="217">
        <f>'расчет цен и скидок'!CD43</f>
        <v>0</v>
      </c>
      <c r="CE43" s="217">
        <f>'расчет цен и скидок'!CE43</f>
        <v>0</v>
      </c>
      <c r="CF43" s="217">
        <f>'расчет цен и скидок'!CF43</f>
        <v>0</v>
      </c>
      <c r="CG43" s="217">
        <f>'расчет цен и скидок'!CG43</f>
        <v>0</v>
      </c>
      <c r="CH43" s="217">
        <f>'расчет цен и скидок'!CH43</f>
        <v>0</v>
      </c>
      <c r="CI43" s="217">
        <f>'расчет цен и скидок'!CI43</f>
        <v>0</v>
      </c>
      <c r="CJ43" s="217">
        <f>'расчет цен и скидок'!CJ43</f>
        <v>0</v>
      </c>
      <c r="CK43" s="217">
        <f>'расчет цен и скидок'!CK43</f>
        <v>0</v>
      </c>
      <c r="CL43" s="217">
        <f>'расчет цен и скидок'!CL43</f>
        <v>0</v>
      </c>
      <c r="CM43" s="217">
        <f>'расчет цен и скидок'!CM43</f>
        <v>0</v>
      </c>
      <c r="CN43" s="217">
        <f>'расчет цен и скидок'!CN43</f>
        <v>0</v>
      </c>
    </row>
    <row r="44" spans="1:92" s="217" customFormat="1" ht="25.5">
      <c r="A44" s="279" t="str">
        <f>'расчет цен и скидок'!A44</f>
        <v>ШБ 5</v>
      </c>
      <c r="B44" s="309" t="str">
        <f>'расчет цен и скидок'!B44</f>
        <v>Стоимость 1 кирпича с учетом  упаковки (поддона)</v>
      </c>
      <c r="C44" s="219">
        <f>'расчет цен и скидок'!C44</f>
        <v>12.933993368333793</v>
      </c>
      <c r="D44" s="219">
        <f>'расчет цен и скидок'!D44</f>
        <v>14.098225698150232</v>
      </c>
      <c r="E44" s="267">
        <f>'расчет цен и скидок'!E44</f>
        <v>0.4676254689303709</v>
      </c>
      <c r="F44" s="240">
        <f>'расчет цен и скидок'!F44</f>
        <v>0.34642886904795195</v>
      </c>
      <c r="G44" s="267">
        <f>'расчет цен и скидок'!G44</f>
        <v>0.397777716155044</v>
      </c>
      <c r="H44" s="240">
        <f>'расчет цен и скидок'!H44</f>
        <v>0.2823491479162617</v>
      </c>
      <c r="I44" s="267">
        <f>'расчет цен и скидок'!I44</f>
        <v>0.3688542625145268</v>
      </c>
      <c r="J44" s="240">
        <f>'расчет цен и скидок'!J44</f>
        <v>0.2558141948246225</v>
      </c>
      <c r="K44" s="231">
        <f>'расчет цен и скидок'!K44</f>
        <v>15.03840840011053</v>
      </c>
      <c r="L44" s="231">
        <f>'расчет цен и скидок'!L44</f>
        <v>17.745321912130425</v>
      </c>
      <c r="M44" s="231">
        <f>'расчет цен и скидок'!M44</f>
        <v>0</v>
      </c>
      <c r="N44" s="241">
        <f>'расчет цен и скидок'!N44</f>
        <v>16.086655429676707</v>
      </c>
      <c r="O44" s="245">
        <f>'расчет цен и скидок'!O44</f>
        <v>18.98225808234319</v>
      </c>
      <c r="P44" s="243">
        <f>'расчет цен и скидок'!P44</f>
        <v>16.086655429676707</v>
      </c>
      <c r="Q44" s="233">
        <f>'расчет цен и скидок'!Q44</f>
        <v>2.8955979773418075</v>
      </c>
      <c r="R44" s="285">
        <f>'расчет цен и скидок'!R44</f>
        <v>18.982253407018515</v>
      </c>
      <c r="S44" s="223">
        <f>'расчет цен и скидок'!S44</f>
        <v>0</v>
      </c>
      <c r="T44" s="224">
        <f>'расчет цен и скидок'!T44</f>
        <v>0.06970491582726457</v>
      </c>
      <c r="U44" s="295">
        <f>'расчет цен и скидок'!U44</f>
        <v>0.05</v>
      </c>
      <c r="V44" s="297">
        <f>'расчет цен и скидок'!V44</f>
        <v>15.32105738233398</v>
      </c>
      <c r="W44" s="292">
        <f>'расчет цен и скидок'!W44</f>
        <v>15.32105738233398</v>
      </c>
      <c r="X44" s="233">
        <f>'расчет цен и скидок'!X44</f>
        <v>18.078847711154094</v>
      </c>
      <c r="Y44" s="290">
        <f>'расчет цен и скидок'!Y44</f>
        <v>0</v>
      </c>
      <c r="Z44" s="291">
        <f>'расчет цен и скидок'!Z44</f>
        <v>0.08</v>
      </c>
      <c r="AA44" s="298">
        <f>'расчет цен и скидок'!AA44</f>
        <v>15.004027079303675</v>
      </c>
      <c r="AB44" s="299">
        <f>'расчет цен и скидок'!AB44</f>
        <v>17.704751953578334</v>
      </c>
      <c r="AC44" s="227">
        <f>'расчет цен и скидок'!AC44</f>
        <v>0</v>
      </c>
      <c r="AD44" s="239">
        <f>'расчет цен и скидок'!AD44</f>
        <v>0</v>
      </c>
      <c r="AE44" s="239">
        <f>'расчет цен и скидок'!AE44</f>
        <v>0</v>
      </c>
      <c r="AF44" s="239">
        <f>'расчет цен и скидок'!AF44</f>
        <v>0</v>
      </c>
      <c r="AG44" s="239">
        <f>'расчет цен и скидок'!AG44</f>
        <v>0</v>
      </c>
      <c r="AH44" s="239">
        <f>'расчет цен и скидок'!AH44</f>
        <v>0</v>
      </c>
      <c r="AI44" s="239">
        <f>'расчет цен и скидок'!AI44</f>
        <v>0</v>
      </c>
      <c r="AJ44" s="229">
        <f>'расчет цен и скидок'!AJ44</f>
        <v>0</v>
      </c>
      <c r="AK44" s="227">
        <f>'расчет цен и скидок'!AK44</f>
        <v>0</v>
      </c>
      <c r="AL44" s="239">
        <f>'расчет цен и скидок'!AL44</f>
        <v>0</v>
      </c>
      <c r="AM44" s="239">
        <f>'расчет цен и скидок'!AM44</f>
        <v>0</v>
      </c>
      <c r="AN44" s="239">
        <f>'расчет цен и скидок'!AN44</f>
        <v>0</v>
      </c>
      <c r="AO44" s="227">
        <f>'расчет цен и скидок'!AO44</f>
        <v>0</v>
      </c>
      <c r="AP44" s="239">
        <f>'расчет цен и скидок'!AP44</f>
        <v>0</v>
      </c>
      <c r="AQ44" s="239">
        <f>'расчет цен и скидок'!AQ44</f>
        <v>0</v>
      </c>
      <c r="AR44" s="239">
        <f>'расчет цен и скидок'!AR44</f>
        <v>0</v>
      </c>
      <c r="AS44" s="227">
        <f>'расчет цен и скидок'!AS44</f>
        <v>0</v>
      </c>
      <c r="AT44" s="239">
        <f>'расчет цен и скидок'!AT44</f>
        <v>0</v>
      </c>
      <c r="AU44" s="239">
        <f>'расчет цен и скидок'!AU44</f>
        <v>0</v>
      </c>
      <c r="AV44" s="239">
        <f>'расчет цен и скидок'!AV44</f>
        <v>0</v>
      </c>
      <c r="AW44" s="227">
        <f>'расчет цен и скидок'!AW44</f>
        <v>0</v>
      </c>
      <c r="AX44" s="239">
        <f>'расчет цен и скидок'!AX44</f>
        <v>0</v>
      </c>
      <c r="AY44" s="217">
        <f>'расчет цен и скидок'!AY44</f>
        <v>0</v>
      </c>
      <c r="AZ44" s="227">
        <f>'расчет цен и скидок'!AZ44</f>
        <v>0</v>
      </c>
      <c r="BA44" s="239">
        <f>'расчет цен и скидок'!BA44</f>
        <v>0</v>
      </c>
      <c r="BB44" s="217">
        <f>'расчет цен и скидок'!BB44</f>
        <v>0</v>
      </c>
      <c r="BC44" s="227">
        <f>'расчет цен и скидок'!BC44</f>
        <v>0</v>
      </c>
      <c r="BD44" s="217">
        <f>'расчет цен и скидок'!BD44</f>
        <v>17.5</v>
      </c>
      <c r="BE44" s="217" t="str">
        <f>'расчет цен и скидок'!BE44</f>
        <v>в т.ч. Поддон и НДС; на объем &gt; 30 т готовы дать скидку 20 копеек</v>
      </c>
      <c r="BF44" s="218">
        <f>'расчет цен и скидок'!BF44</f>
        <v>0</v>
      </c>
      <c r="BG44" s="239">
        <f>'расчет цен и скидок'!BG44</f>
        <v>18</v>
      </c>
      <c r="BH44" s="217" t="str">
        <f>'расчет цен и скидок'!BH44</f>
        <v>в т.ч. Поддон и НДС; если береш больше поддона, то 18 р, если меньше,то 19р.</v>
      </c>
      <c r="BI44" s="227">
        <f>'расчет цен и скидок'!BI44</f>
        <v>0</v>
      </c>
      <c r="BJ44" s="239">
        <f>'расчет цен и скидок'!BJ44</f>
        <v>0</v>
      </c>
      <c r="BK44" s="217">
        <f>'расчет цен и скидок'!BK44</f>
        <v>0</v>
      </c>
      <c r="BL44" s="217">
        <f>'расчет цен и скидок'!BL44</f>
        <v>0</v>
      </c>
      <c r="BM44" s="217">
        <f>'расчет цен и скидок'!BM44</f>
        <v>0</v>
      </c>
      <c r="BN44" s="217">
        <f>'расчет цен и скидок'!BN44</f>
        <v>0</v>
      </c>
      <c r="BO44" s="217">
        <f>'расчет цен и скидок'!BO44</f>
        <v>0</v>
      </c>
      <c r="BP44" s="217">
        <f>'расчет цен и скидок'!BP44</f>
        <v>0</v>
      </c>
      <c r="BQ44" s="217">
        <f>'расчет цен и скидок'!BQ44</f>
        <v>0</v>
      </c>
      <c r="BR44" s="217">
        <f>'расчет цен и скидок'!BR44</f>
        <v>0</v>
      </c>
      <c r="BS44" s="217">
        <f>'расчет цен и скидок'!BS44</f>
        <v>0</v>
      </c>
      <c r="BT44" s="217">
        <f>'расчет цен и скидок'!BT44</f>
        <v>0</v>
      </c>
      <c r="BU44" s="217">
        <f>'расчет цен и скидок'!BU44</f>
        <v>0</v>
      </c>
      <c r="BV44" s="217">
        <f>'расчет цен и скидок'!BV44</f>
        <v>0</v>
      </c>
      <c r="BW44" s="217">
        <f>'расчет цен и скидок'!BW44</f>
        <v>0</v>
      </c>
      <c r="BX44" s="217">
        <f>'расчет цен и скидок'!BX44</f>
        <v>0</v>
      </c>
      <c r="BY44" s="217">
        <f>'расчет цен и скидок'!BY44</f>
        <v>0</v>
      </c>
      <c r="BZ44" s="217">
        <f>'расчет цен и скидок'!BZ44</f>
        <v>0</v>
      </c>
      <c r="CA44" s="217">
        <f>'расчет цен и скидок'!CA44</f>
        <v>0</v>
      </c>
      <c r="CB44" s="217">
        <f>'расчет цен и скидок'!CB44</f>
        <v>0</v>
      </c>
      <c r="CC44" s="217">
        <f>'расчет цен и скидок'!CC44</f>
        <v>0</v>
      </c>
      <c r="CD44" s="217">
        <f>'расчет цен и скидок'!CD44</f>
        <v>0</v>
      </c>
      <c r="CE44" s="217">
        <f>'расчет цен и скидок'!CE44</f>
        <v>0</v>
      </c>
      <c r="CF44" s="217">
        <f>'расчет цен и скидок'!CF44</f>
        <v>0</v>
      </c>
      <c r="CG44" s="217">
        <f>'расчет цен и скидок'!CG44</f>
        <v>0</v>
      </c>
      <c r="CH44" s="217">
        <f>'расчет цен и скидок'!CH44</f>
        <v>0</v>
      </c>
      <c r="CI44" s="217">
        <f>'расчет цен и скидок'!CI44</f>
        <v>0</v>
      </c>
      <c r="CJ44" s="217">
        <f>'расчет цен и скидок'!CJ44</f>
        <v>0</v>
      </c>
      <c r="CK44" s="217">
        <f>'расчет цен и скидок'!CK44</f>
        <v>0</v>
      </c>
      <c r="CL44" s="217">
        <f>'расчет цен и скидок'!CL44</f>
        <v>0</v>
      </c>
      <c r="CM44" s="217">
        <f>'расчет цен и скидок'!CM44</f>
        <v>0</v>
      </c>
      <c r="CN44" s="217">
        <f>'расчет цен и скидок'!CN44</f>
        <v>0</v>
      </c>
    </row>
    <row r="45" spans="1:92" s="217" customFormat="1" ht="25.5">
      <c r="A45" s="279" t="str">
        <f>'расчет цен и скидок'!A45</f>
        <v>ШБ 5</v>
      </c>
      <c r="B45" s="309" t="str">
        <f>'расчет цен и скидок'!B45</f>
        <v>Стоимость 1 поддона (385 кирпичей, 1,35 тонн или 63/47)</v>
      </c>
      <c r="C45" s="219">
        <f>'расчет цен и скидок'!C45</f>
        <v>0</v>
      </c>
      <c r="D45" s="219">
        <f>'расчет цен и скидок'!D45</f>
        <v>0</v>
      </c>
      <c r="E45" s="219">
        <f>'расчет цен и скидок'!E45</f>
        <v>0</v>
      </c>
      <c r="F45" s="219">
        <f>'расчет цен и скидок'!F45</f>
        <v>0</v>
      </c>
      <c r="G45" s="219">
        <f>'расчет цен и скидок'!G45</f>
        <v>0</v>
      </c>
      <c r="H45" s="219">
        <f>'расчет цен и скидок'!H45</f>
        <v>0</v>
      </c>
      <c r="I45" s="219">
        <f>'расчет цен и скидок'!I45</f>
        <v>0</v>
      </c>
      <c r="J45" s="219">
        <f>'расчет цен и скидок'!J45</f>
        <v>0</v>
      </c>
      <c r="K45" s="231">
        <f>'расчет цен и скидок'!K45</f>
        <v>5629.787234042553</v>
      </c>
      <c r="L45" s="231">
        <f>'расчет цен и скидок'!L45</f>
        <v>6643.148936170212</v>
      </c>
      <c r="M45" s="231">
        <f>'расчет цен и скидок'!M45</f>
        <v>0</v>
      </c>
      <c r="N45" s="231">
        <f>'расчет цен и скидок'!N45</f>
        <v>6023.872340425532</v>
      </c>
      <c r="O45" s="231">
        <f>'расчет цен и скидок'!O45</f>
        <v>7108.169361702128</v>
      </c>
      <c r="P45" s="232">
        <f>'расчет цен и скидок'!P45</f>
        <v>0</v>
      </c>
      <c r="Q45" s="233">
        <f>'расчет цен и скидок'!Q45</f>
        <v>0</v>
      </c>
      <c r="R45" s="234">
        <f>'расчет цен и скидок'!R45</f>
        <v>0</v>
      </c>
      <c r="S45" s="223">
        <f>'расчет цен и скидок'!S45</f>
        <v>0.07</v>
      </c>
      <c r="T45" s="224">
        <f>'расчет цен и скидок'!T45</f>
        <v>0.07000000000000015</v>
      </c>
      <c r="U45" s="295">
        <f>'расчет цен и скидок'!U45</f>
        <v>0.05</v>
      </c>
      <c r="V45" s="298">
        <f>'расчет цен и скидок'!V45</f>
        <v>0</v>
      </c>
      <c r="W45" s="292">
        <f>'расчет цен и скидок'!W45</f>
        <v>0</v>
      </c>
      <c r="X45" s="292">
        <f>'расчет цен и скидок'!X45</f>
        <v>0</v>
      </c>
      <c r="Y45" s="290">
        <f>'расчет цен и скидок'!Y45</f>
        <v>0</v>
      </c>
      <c r="Z45" s="291">
        <f>'расчет цен и скидок'!Z45</f>
        <v>0.08</v>
      </c>
      <c r="AA45" s="292">
        <f>'расчет цен и скидок'!AA45</f>
        <v>0</v>
      </c>
      <c r="AB45" s="292">
        <f>'расчет цен и скидок'!AB45</f>
        <v>0</v>
      </c>
      <c r="AC45" s="227">
        <f>'расчет цен и скидок'!AC45</f>
        <v>0</v>
      </c>
      <c r="AD45" s="239">
        <f>'расчет цен и скидок'!AD45</f>
        <v>0</v>
      </c>
      <c r="AE45" s="239">
        <f>'расчет цен и скидок'!AE45</f>
        <v>0</v>
      </c>
      <c r="AF45" s="239">
        <f>'расчет цен и скидок'!AF45</f>
        <v>0</v>
      </c>
      <c r="AG45" s="239">
        <f>'расчет цен и скидок'!AG45</f>
        <v>0</v>
      </c>
      <c r="AH45" s="239">
        <f>'расчет цен и скидок'!AH45</f>
        <v>0</v>
      </c>
      <c r="AI45" s="239">
        <f>'расчет цен и скидок'!AI45</f>
        <v>0</v>
      </c>
      <c r="AJ45" s="229" t="e">
        <f>'расчет цен и скидок'!AJ45</f>
        <v>#DIV/0!</v>
      </c>
      <c r="AK45" s="227">
        <f>'расчет цен и скидок'!AK45</f>
        <v>0</v>
      </c>
      <c r="AL45" s="239">
        <f>'расчет цен и скидок'!AL45</f>
        <v>0</v>
      </c>
      <c r="AM45" s="239">
        <f>'расчет цен и скидок'!AM45</f>
        <v>0</v>
      </c>
      <c r="AN45" s="239">
        <f>'расчет цен и скидок'!AN45</f>
        <v>0</v>
      </c>
      <c r="AO45" s="227">
        <f>'расчет цен и скидок'!AO45</f>
        <v>0</v>
      </c>
      <c r="AP45" s="239">
        <f>'расчет цен и скидок'!AP45</f>
        <v>0</v>
      </c>
      <c r="AQ45" s="239">
        <f>'расчет цен и скидок'!AQ45</f>
        <v>0</v>
      </c>
      <c r="AR45" s="239">
        <f>'расчет цен и скидок'!AR45</f>
        <v>0</v>
      </c>
      <c r="AS45" s="227">
        <f>'расчет цен и скидок'!AS45</f>
        <v>0</v>
      </c>
      <c r="AT45" s="239">
        <f>'расчет цен и скидок'!AT45</f>
        <v>0</v>
      </c>
      <c r="AU45" s="239">
        <f>'расчет цен и скидок'!AU45</f>
        <v>0</v>
      </c>
      <c r="AV45" s="239">
        <f>'расчет цен и скидок'!AV45</f>
        <v>0</v>
      </c>
      <c r="AW45" s="227">
        <f>'расчет цен и скидок'!AW45</f>
        <v>0</v>
      </c>
      <c r="AX45" s="239">
        <f>'расчет цен и скидок'!AX45</f>
        <v>0</v>
      </c>
      <c r="AY45" s="217">
        <f>'расчет цен и скидок'!AY45</f>
        <v>0</v>
      </c>
      <c r="AZ45" s="227">
        <f>'расчет цен и скидок'!AZ45</f>
        <v>0</v>
      </c>
      <c r="BA45" s="239">
        <f>'расчет цен и скидок'!BA45</f>
        <v>0</v>
      </c>
      <c r="BB45" s="217">
        <f>'расчет цен и скидок'!BB45</f>
        <v>0</v>
      </c>
      <c r="BC45" s="227">
        <f>'расчет цен и скидок'!BC45</f>
        <v>0</v>
      </c>
      <c r="BD45" s="217">
        <f>'расчет цен и скидок'!BD45</f>
        <v>0</v>
      </c>
      <c r="BE45" s="217">
        <f>'расчет цен и скидок'!BE45</f>
        <v>0</v>
      </c>
      <c r="BF45" s="218">
        <f>'расчет цен и скидок'!BF45</f>
        <v>0</v>
      </c>
      <c r="BG45" s="239">
        <f>'расчет цен и скидок'!BG45</f>
        <v>0</v>
      </c>
      <c r="BH45" s="217">
        <f>'расчет цен и скидок'!BH45</f>
        <v>0</v>
      </c>
      <c r="BI45" s="227">
        <f>'расчет цен и скидок'!BI45</f>
        <v>0</v>
      </c>
      <c r="BJ45" s="239">
        <f>'расчет цен и скидок'!BJ45</f>
        <v>0</v>
      </c>
      <c r="BK45" s="217">
        <f>'расчет цен и скидок'!BK45</f>
        <v>0</v>
      </c>
      <c r="BL45" s="217">
        <f>'расчет цен и скидок'!BL45</f>
        <v>0</v>
      </c>
      <c r="BM45" s="217">
        <f>'расчет цен и скидок'!BM45</f>
        <v>0</v>
      </c>
      <c r="BN45" s="217">
        <f>'расчет цен и скидок'!BN45</f>
        <v>0</v>
      </c>
      <c r="BO45" s="217">
        <f>'расчет цен и скидок'!BO45</f>
        <v>0</v>
      </c>
      <c r="BP45" s="217">
        <f>'расчет цен и скидок'!BP45</f>
        <v>0</v>
      </c>
      <c r="BQ45" s="217">
        <f>'расчет цен и скидок'!BQ45</f>
        <v>0</v>
      </c>
      <c r="BR45" s="217">
        <f>'расчет цен и скидок'!BR45</f>
        <v>0</v>
      </c>
      <c r="BS45" s="217">
        <f>'расчет цен и скидок'!BS45</f>
        <v>0</v>
      </c>
      <c r="BT45" s="217">
        <f>'расчет цен и скидок'!BT45</f>
        <v>0</v>
      </c>
      <c r="BU45" s="217">
        <f>'расчет цен и скидок'!BU45</f>
        <v>0</v>
      </c>
      <c r="BV45" s="217">
        <f>'расчет цен и скидок'!BV45</f>
        <v>0</v>
      </c>
      <c r="BW45" s="217">
        <f>'расчет цен и скидок'!BW45</f>
        <v>0</v>
      </c>
      <c r="BX45" s="217">
        <f>'расчет цен и скидок'!BX45</f>
        <v>0</v>
      </c>
      <c r="BY45" s="217">
        <f>'расчет цен и скидок'!BY45</f>
        <v>0</v>
      </c>
      <c r="BZ45" s="217">
        <f>'расчет цен и скидок'!BZ45</f>
        <v>0</v>
      </c>
      <c r="CA45" s="217">
        <f>'расчет цен и скидок'!CA45</f>
        <v>0</v>
      </c>
      <c r="CB45" s="217">
        <f>'расчет цен и скидок'!CB45</f>
        <v>0</v>
      </c>
      <c r="CC45" s="217">
        <f>'расчет цен и скидок'!CC45</f>
        <v>0</v>
      </c>
      <c r="CD45" s="217">
        <f>'расчет цен и скидок'!CD45</f>
        <v>0</v>
      </c>
      <c r="CE45" s="217">
        <f>'расчет цен и скидок'!CE45</f>
        <v>0</v>
      </c>
      <c r="CF45" s="217">
        <f>'расчет цен и скидок'!CF45</f>
        <v>0</v>
      </c>
      <c r="CG45" s="217">
        <f>'расчет цен и скидок'!CG45</f>
        <v>0</v>
      </c>
      <c r="CH45" s="217">
        <f>'расчет цен и скидок'!CH45</f>
        <v>0</v>
      </c>
      <c r="CI45" s="217">
        <f>'расчет цен и скидок'!CI45</f>
        <v>0</v>
      </c>
      <c r="CJ45" s="217">
        <f>'расчет цен и скидок'!CJ45</f>
        <v>0</v>
      </c>
      <c r="CK45" s="217">
        <f>'расчет цен и скидок'!CK45</f>
        <v>0</v>
      </c>
      <c r="CL45" s="217">
        <f>'расчет цен и скидок'!CL45</f>
        <v>0</v>
      </c>
      <c r="CM45" s="217">
        <f>'расчет цен и скидок'!CM45</f>
        <v>0</v>
      </c>
      <c r="CN45" s="217">
        <f>'расчет цен и скидок'!CN45</f>
        <v>0</v>
      </c>
    </row>
    <row r="46" spans="1:92" s="217" customFormat="1" ht="25.5">
      <c r="A46" s="279" t="str">
        <f>'расчет цен и скидок'!A46</f>
        <v>ШБ 5</v>
      </c>
      <c r="B46" s="309" t="str">
        <f>'расчет цен и скидок'!B46</f>
        <v>Стоимость 1 поддона с учетом цены поддона</v>
      </c>
      <c r="C46" s="219">
        <f>'расчет цен и скидок'!C46</f>
        <v>0</v>
      </c>
      <c r="D46" s="219">
        <f>'расчет цен и скидок'!D46</f>
        <v>0</v>
      </c>
      <c r="E46" s="219">
        <f>'расчет цен и скидок'!E46</f>
        <v>0</v>
      </c>
      <c r="F46" s="219">
        <f>'расчет цен и скидок'!F46</f>
        <v>0</v>
      </c>
      <c r="G46" s="219">
        <f>'расчет цен и скидок'!G46</f>
        <v>0</v>
      </c>
      <c r="H46" s="219">
        <f>'расчет цен и скидок'!H46</f>
        <v>0</v>
      </c>
      <c r="I46" s="219">
        <f>'расчет цен и скидок'!I46</f>
        <v>0</v>
      </c>
      <c r="J46" s="219">
        <f>'расчет цен и скидок'!J46</f>
        <v>0</v>
      </c>
      <c r="K46" s="231">
        <f>'расчет цен и скидок'!K46</f>
        <v>5789.787234042553</v>
      </c>
      <c r="L46" s="231">
        <f>'расчет цен и скидок'!L46</f>
        <v>6831.948936170213</v>
      </c>
      <c r="M46" s="231">
        <f>'расчет цен и скидок'!M46</f>
        <v>0</v>
      </c>
      <c r="N46" s="231">
        <f>'расчет цен и скидок'!N46</f>
        <v>6193.362340425531</v>
      </c>
      <c r="O46" s="231">
        <f>'расчет цен и скидок'!O46</f>
        <v>7308.169361702128</v>
      </c>
      <c r="P46" s="232">
        <f>'расчет цен и скидок'!P46</f>
        <v>0</v>
      </c>
      <c r="Q46" s="233">
        <f>'расчет цен и скидок'!Q46</f>
        <v>0</v>
      </c>
      <c r="R46" s="234">
        <f>'расчет цен и скидок'!R46</f>
        <v>0</v>
      </c>
      <c r="S46" s="223">
        <f>'расчет цен и скидок'!S46</f>
        <v>0</v>
      </c>
      <c r="T46" s="224">
        <f>'расчет цен и скидок'!T46</f>
        <v>0.06970491582726476</v>
      </c>
      <c r="U46" s="295">
        <f>'расчет цен и скидок'!U46</f>
        <v>0.05</v>
      </c>
      <c r="V46" s="298">
        <f>'расчет цен и скидок'!V46</f>
        <v>0</v>
      </c>
      <c r="W46" s="292">
        <f>'расчет цен и скидок'!W46</f>
        <v>0</v>
      </c>
      <c r="X46" s="292">
        <f>'расчет цен и скидок'!X46</f>
        <v>0</v>
      </c>
      <c r="Y46" s="290">
        <f>'расчет цен и скидок'!Y46</f>
        <v>0</v>
      </c>
      <c r="Z46" s="291">
        <f>'расчет цен и скидок'!Z46</f>
        <v>0.08</v>
      </c>
      <c r="AA46" s="292">
        <f>'расчет цен и скидок'!AA46</f>
        <v>0</v>
      </c>
      <c r="AB46" s="292">
        <f>'расчет цен и скидок'!AB46</f>
        <v>0</v>
      </c>
      <c r="AC46" s="227">
        <f>'расчет цен и скидок'!AC46</f>
        <v>0</v>
      </c>
      <c r="AD46" s="239">
        <f>'расчет цен и скидок'!AD46</f>
        <v>0</v>
      </c>
      <c r="AE46" s="239">
        <f>'расчет цен и скидок'!AE46</f>
        <v>0</v>
      </c>
      <c r="AF46" s="239">
        <f>'расчет цен и скидок'!AF46</f>
        <v>0</v>
      </c>
      <c r="AG46" s="239">
        <f>'расчет цен и скидок'!AG46</f>
        <v>0</v>
      </c>
      <c r="AH46" s="239">
        <f>'расчет цен и скидок'!AH46</f>
        <v>0</v>
      </c>
      <c r="AI46" s="239">
        <f>'расчет цен и скидок'!AI46</f>
        <v>0</v>
      </c>
      <c r="AJ46" s="229">
        <f>'расчет цен и скидок'!AJ46</f>
        <v>0</v>
      </c>
      <c r="AK46" s="227">
        <f>'расчет цен и скидок'!AK46</f>
        <v>0</v>
      </c>
      <c r="AL46" s="239">
        <f>'расчет цен и скидок'!AL46</f>
        <v>0</v>
      </c>
      <c r="AM46" s="239">
        <f>'расчет цен и скидок'!AM46</f>
        <v>0</v>
      </c>
      <c r="AN46" s="239">
        <f>'расчет цен и скидок'!AN46</f>
        <v>0</v>
      </c>
      <c r="AO46" s="227">
        <f>'расчет цен и скидок'!AO46</f>
        <v>0</v>
      </c>
      <c r="AP46" s="239">
        <f>'расчет цен и скидок'!AP46</f>
        <v>0</v>
      </c>
      <c r="AQ46" s="239">
        <f>'расчет цен и скидок'!AQ46</f>
        <v>0</v>
      </c>
      <c r="AR46" s="239">
        <f>'расчет цен и скидок'!AR46</f>
        <v>0</v>
      </c>
      <c r="AS46" s="227">
        <f>'расчет цен и скидок'!AS46</f>
        <v>0</v>
      </c>
      <c r="AT46" s="239">
        <f>'расчет цен и скидок'!AT46</f>
        <v>0</v>
      </c>
      <c r="AU46" s="239">
        <f>'расчет цен и скидок'!AU46</f>
        <v>0</v>
      </c>
      <c r="AV46" s="239">
        <f>'расчет цен и скидок'!AV46</f>
        <v>0</v>
      </c>
      <c r="AW46" s="227">
        <f>'расчет цен и скидок'!AW46</f>
        <v>0</v>
      </c>
      <c r="AX46" s="239">
        <f>'расчет цен и скидок'!AX46</f>
        <v>0</v>
      </c>
      <c r="AY46" s="217">
        <f>'расчет цен и скидок'!AY46</f>
        <v>0</v>
      </c>
      <c r="AZ46" s="227">
        <f>'расчет цен и скидок'!AZ46</f>
        <v>0</v>
      </c>
      <c r="BA46" s="239">
        <f>'расчет цен и скидок'!BA46</f>
        <v>0</v>
      </c>
      <c r="BB46" s="217">
        <f>'расчет цен и скидок'!BB46</f>
        <v>0</v>
      </c>
      <c r="BC46" s="227">
        <f>'расчет цен и скидок'!BC46</f>
        <v>0</v>
      </c>
      <c r="BD46" s="217">
        <f>'расчет цен и скидок'!BD46</f>
        <v>0</v>
      </c>
      <c r="BE46" s="217">
        <f>'расчет цен и скидок'!BE46</f>
        <v>0</v>
      </c>
      <c r="BF46" s="218">
        <f>'расчет цен и скидок'!BF46</f>
        <v>0</v>
      </c>
      <c r="BG46" s="239">
        <f>'расчет цен и скидок'!BG46</f>
        <v>0</v>
      </c>
      <c r="BH46" s="217">
        <f>'расчет цен и скидок'!BH46</f>
        <v>0</v>
      </c>
      <c r="BI46" s="227">
        <f>'расчет цен и скидок'!BI46</f>
        <v>0</v>
      </c>
      <c r="BJ46" s="239">
        <f>'расчет цен и скидок'!BJ46</f>
        <v>0</v>
      </c>
      <c r="BK46" s="217">
        <f>'расчет цен и скидок'!BK46</f>
        <v>0</v>
      </c>
      <c r="BL46" s="217">
        <f>'расчет цен и скидок'!BL46</f>
        <v>0</v>
      </c>
      <c r="BM46" s="217">
        <f>'расчет цен и скидок'!BM46</f>
        <v>0</v>
      </c>
      <c r="BN46" s="217">
        <f>'расчет цен и скидок'!BN46</f>
        <v>0</v>
      </c>
      <c r="BO46" s="217">
        <f>'расчет цен и скидок'!BO46</f>
        <v>0</v>
      </c>
      <c r="BP46" s="217">
        <f>'расчет цен и скидок'!BP46</f>
        <v>0</v>
      </c>
      <c r="BQ46" s="217">
        <f>'расчет цен и скидок'!BQ46</f>
        <v>0</v>
      </c>
      <c r="BR46" s="217">
        <f>'расчет цен и скидок'!BR46</f>
        <v>0</v>
      </c>
      <c r="BS46" s="217">
        <f>'расчет цен и скидок'!BS46</f>
        <v>0</v>
      </c>
      <c r="BT46" s="217">
        <f>'расчет цен и скидок'!BT46</f>
        <v>0</v>
      </c>
      <c r="BU46" s="217">
        <f>'расчет цен и скидок'!BU46</f>
        <v>0</v>
      </c>
      <c r="BV46" s="217">
        <f>'расчет цен и скидок'!BV46</f>
        <v>0</v>
      </c>
      <c r="BW46" s="217">
        <f>'расчет цен и скидок'!BW46</f>
        <v>0</v>
      </c>
      <c r="BX46" s="217">
        <f>'расчет цен и скидок'!BX46</f>
        <v>0</v>
      </c>
      <c r="BY46" s="217">
        <f>'расчет цен и скидок'!BY46</f>
        <v>0</v>
      </c>
      <c r="BZ46" s="217">
        <f>'расчет цен и скидок'!BZ46</f>
        <v>0</v>
      </c>
      <c r="CA46" s="217">
        <f>'расчет цен и скидок'!CA46</f>
        <v>0</v>
      </c>
      <c r="CB46" s="217">
        <f>'расчет цен и скидок'!CB46</f>
        <v>0</v>
      </c>
      <c r="CC46" s="217">
        <f>'расчет цен и скидок'!CC46</f>
        <v>0</v>
      </c>
      <c r="CD46" s="217">
        <f>'расчет цен и скидок'!CD46</f>
        <v>0</v>
      </c>
      <c r="CE46" s="217">
        <f>'расчет цен и скидок'!CE46</f>
        <v>0</v>
      </c>
      <c r="CF46" s="217">
        <f>'расчет цен и скидок'!CF46</f>
        <v>0</v>
      </c>
      <c r="CG46" s="217">
        <f>'расчет цен и скидок'!CG46</f>
        <v>0</v>
      </c>
      <c r="CH46" s="217">
        <f>'расчет цен и скидок'!CH46</f>
        <v>0</v>
      </c>
      <c r="CI46" s="217">
        <f>'расчет цен и скидок'!CI46</f>
        <v>0</v>
      </c>
      <c r="CJ46" s="217">
        <f>'расчет цен и скидок'!CJ46</f>
        <v>0</v>
      </c>
      <c r="CK46" s="217">
        <f>'расчет цен и скидок'!CK46</f>
        <v>0</v>
      </c>
      <c r="CL46" s="217">
        <f>'расчет цен и скидок'!CL46</f>
        <v>0</v>
      </c>
      <c r="CM46" s="217">
        <f>'расчет цен и скидок'!CM46</f>
        <v>0</v>
      </c>
      <c r="CN46" s="217">
        <f>'расчет цен и скидок'!CN46</f>
        <v>0</v>
      </c>
    </row>
    <row r="47" spans="1:62" s="217" customFormat="1" ht="15.75">
      <c r="A47" s="279"/>
      <c r="B47" s="308"/>
      <c r="C47" s="219"/>
      <c r="D47" s="219"/>
      <c r="E47" s="219"/>
      <c r="F47" s="219"/>
      <c r="G47" s="219"/>
      <c r="H47" s="219"/>
      <c r="I47" s="219"/>
      <c r="J47" s="219"/>
      <c r="K47" s="231"/>
      <c r="L47" s="231"/>
      <c r="M47" s="231"/>
      <c r="N47" s="221"/>
      <c r="O47" s="221"/>
      <c r="P47" s="232"/>
      <c r="Q47" s="233"/>
      <c r="R47" s="234"/>
      <c r="S47" s="223"/>
      <c r="T47" s="224"/>
      <c r="U47" s="250"/>
      <c r="V47" s="246"/>
      <c r="W47" s="221"/>
      <c r="X47" s="221"/>
      <c r="Y47" s="225"/>
      <c r="Z47" s="250"/>
      <c r="AA47" s="221"/>
      <c r="AB47" s="221"/>
      <c r="AC47" s="227"/>
      <c r="AD47" s="239"/>
      <c r="AE47" s="239"/>
      <c r="AF47" s="239"/>
      <c r="AG47" s="239"/>
      <c r="AH47" s="239"/>
      <c r="AI47" s="239"/>
      <c r="AJ47" s="229"/>
      <c r="AK47" s="227"/>
      <c r="AL47" s="239"/>
      <c r="AM47" s="239"/>
      <c r="AN47" s="239"/>
      <c r="AO47" s="227"/>
      <c r="AP47" s="239"/>
      <c r="AQ47" s="239"/>
      <c r="AR47" s="239"/>
      <c r="AS47" s="227"/>
      <c r="AT47" s="239"/>
      <c r="AU47" s="239"/>
      <c r="AV47" s="239"/>
      <c r="AW47" s="227"/>
      <c r="AX47" s="239"/>
      <c r="AZ47" s="227"/>
      <c r="BA47" s="239"/>
      <c r="BC47" s="227"/>
      <c r="BF47" s="218"/>
      <c r="BG47" s="239"/>
      <c r="BI47" s="227"/>
      <c r="BJ47" s="239"/>
    </row>
    <row r="48" spans="1:92" s="217" customFormat="1" ht="38.25">
      <c r="A48" s="279" t="str">
        <f>'расчет цен и скидок'!A48</f>
        <v>ШБ 22</v>
      </c>
      <c r="B48" s="309" t="str">
        <f>'расчет цен и скидок'!B48</f>
        <v>Стоимость 1 тонны без учета стоимости поддонов (420 кирпичей, около 1,250тонн)</v>
      </c>
      <c r="C48" s="219">
        <f>'расчет цен и скидок'!C48</f>
        <v>0</v>
      </c>
      <c r="D48" s="219">
        <f>'расчет цен и скидок'!D48</f>
        <v>0</v>
      </c>
      <c r="E48" s="219">
        <f>'расчет цен и скидок'!E48</f>
        <v>0</v>
      </c>
      <c r="F48" s="219">
        <f>'расчет цен и скидок'!F48</f>
        <v>0</v>
      </c>
      <c r="G48" s="219">
        <f>'расчет цен и скидок'!G48</f>
        <v>0</v>
      </c>
      <c r="H48" s="219">
        <f>'расчет цен и скидок'!H48</f>
        <v>0</v>
      </c>
      <c r="I48" s="219">
        <f>'расчет цен и скидок'!I48</f>
        <v>0</v>
      </c>
      <c r="J48" s="219">
        <f>'расчет цен и скидок'!J48</f>
        <v>0</v>
      </c>
      <c r="K48" s="231">
        <f>'расчет цен и скидок'!K48</f>
        <v>5350</v>
      </c>
      <c r="L48" s="231">
        <f>'расчет цен и скидок'!L48</f>
        <v>6313</v>
      </c>
      <c r="M48" s="231">
        <f>'расчет цен и скидок'!M48</f>
        <v>0</v>
      </c>
      <c r="N48" s="221">
        <f>'расчет цен и скидок'!N48</f>
        <v>5724.5</v>
      </c>
      <c r="O48" s="221">
        <f>'расчет цен и скидок'!O48</f>
        <v>6754.91</v>
      </c>
      <c r="P48" s="232">
        <f>'расчет цен и скидок'!P48</f>
        <v>5750</v>
      </c>
      <c r="Q48" s="233">
        <f>'расчет цен и скидок'!Q48</f>
        <v>1035</v>
      </c>
      <c r="R48" s="234">
        <f>'расчет цен и скидок'!R48</f>
        <v>6785</v>
      </c>
      <c r="S48" s="223">
        <f>'расчет цен и скидок'!S48</f>
        <v>0.07</v>
      </c>
      <c r="T48" s="224">
        <f>'расчет цен и скидок'!T48</f>
        <v>0.06999999999999998</v>
      </c>
      <c r="U48" s="291">
        <f>'расчет цен и скидок'!U48</f>
        <v>0.05</v>
      </c>
      <c r="V48" s="298">
        <f>'расчет цен и скидок'!V48</f>
        <v>5462.5</v>
      </c>
      <c r="W48" s="292">
        <f>'расчет цен и скидок'!W48</f>
        <v>5463</v>
      </c>
      <c r="X48" s="292">
        <f>'расчет цен и скидок'!X48</f>
        <v>6446.339999999999</v>
      </c>
      <c r="Y48" s="290">
        <f>'расчет цен и скидок'!Y48</f>
        <v>0</v>
      </c>
      <c r="Z48" s="291">
        <f>'расчет цен и скидок'!Z48</f>
        <v>0.08</v>
      </c>
      <c r="AA48" s="292">
        <f>'расчет цен и скидок'!AA48</f>
        <v>5290</v>
      </c>
      <c r="AB48" s="292">
        <f>'расчет цен и скидок'!AB48</f>
        <v>6242.2</v>
      </c>
      <c r="AC48" s="227">
        <f>'расчет цен и скидок'!AC48</f>
        <v>0</v>
      </c>
      <c r="AD48" s="239">
        <f>'расчет цен и скидок'!AD48</f>
        <v>3310</v>
      </c>
      <c r="AE48" s="239">
        <f>'расчет цен и скидок'!AE48</f>
        <v>0</v>
      </c>
      <c r="AF48" s="239">
        <f>'расчет цен и скидок'!AF48</f>
        <v>0</v>
      </c>
      <c r="AG48" s="239">
        <f>'расчет цен и скидок'!AG48</f>
        <v>0</v>
      </c>
      <c r="AH48" s="239">
        <f>'расчет цен и скидок'!AH48</f>
        <v>3710</v>
      </c>
      <c r="AI48" s="239">
        <f>'расчет цен и скидок'!AI48</f>
        <v>0</v>
      </c>
      <c r="AJ48" s="229">
        <f>'расчет цен и скидок'!AJ48</f>
        <v>0.12084592145015106</v>
      </c>
      <c r="AK48" s="227">
        <f>'расчет цен и скидок'!AK48</f>
        <v>0</v>
      </c>
      <c r="AL48" s="239">
        <f>'расчет цен и скидок'!AL48</f>
        <v>3280</v>
      </c>
      <c r="AM48" s="239">
        <f>'расчет цен и скидок'!AM48</f>
        <v>3610</v>
      </c>
      <c r="AN48" s="242">
        <f>'расчет цен и скидок'!AN48</f>
        <v>0.10060975609756098</v>
      </c>
      <c r="AO48" s="227">
        <f>'расчет цен и скидок'!AO48</f>
        <v>0</v>
      </c>
      <c r="AP48" s="239">
        <f>'расчет цен и скидок'!AP48</f>
        <v>3560</v>
      </c>
      <c r="AQ48" s="239">
        <f>'расчет цен и скидок'!AQ48</f>
        <v>0</v>
      </c>
      <c r="AR48" s="242">
        <f>'расчет цен и скидок'!AR48</f>
        <v>-1</v>
      </c>
      <c r="AS48" s="227">
        <f>'расчет цен и скидок'!AS48</f>
        <v>0</v>
      </c>
      <c r="AT48" s="239">
        <f>'расчет цен и скидок'!AT48</f>
        <v>5220.338983050848</v>
      </c>
      <c r="AU48" s="239">
        <f>'расчет цен и скидок'!AU48</f>
        <v>0</v>
      </c>
      <c r="AV48" s="242">
        <f>'расчет цен и скидок'!AV48</f>
        <v>-1</v>
      </c>
      <c r="AW48" s="227">
        <f>'расчет цен и скидок'!AW48</f>
        <v>0</v>
      </c>
      <c r="AX48" s="239">
        <f>'расчет цен и скидок'!AX48</f>
        <v>0</v>
      </c>
      <c r="AY48" s="217">
        <f>'расчет цен и скидок'!AY48</f>
        <v>0</v>
      </c>
      <c r="AZ48" s="227">
        <f>'расчет цен и скидок'!AZ48</f>
        <v>0</v>
      </c>
      <c r="BA48" s="239">
        <f>'расчет цен и скидок'!BA48</f>
        <v>0</v>
      </c>
      <c r="BB48" s="217">
        <f>'расчет цен и скидок'!BB48</f>
        <v>0</v>
      </c>
      <c r="BC48" s="227">
        <f>'расчет цен и скидок'!BC48</f>
        <v>0</v>
      </c>
      <c r="BD48" s="217">
        <f>'расчет цен и скидок'!BD48</f>
        <v>0</v>
      </c>
      <c r="BE48" s="217">
        <f>'расчет цен и скидок'!BE48</f>
        <v>0</v>
      </c>
      <c r="BF48" s="218">
        <f>'расчет цен и скидок'!BF48</f>
        <v>0</v>
      </c>
      <c r="BG48" s="239">
        <f>'расчет цен и скидок'!BG48</f>
        <v>0</v>
      </c>
      <c r="BH48" s="217">
        <f>'расчет цен и скидок'!BH48</f>
        <v>0</v>
      </c>
      <c r="BI48" s="227">
        <f>'расчет цен и скидок'!BI48</f>
        <v>0</v>
      </c>
      <c r="BJ48" s="239">
        <f>'расчет цен и скидок'!BJ48</f>
        <v>0</v>
      </c>
      <c r="BK48" s="217">
        <f>'расчет цен и скидок'!BK48</f>
        <v>0</v>
      </c>
      <c r="BL48" s="217">
        <f>'расчет цен и скидок'!BL48</f>
        <v>0</v>
      </c>
      <c r="BM48" s="217">
        <f>'расчет цен и скидок'!BM48</f>
        <v>0</v>
      </c>
      <c r="BN48" s="217">
        <f>'расчет цен и скидок'!BN48</f>
        <v>0</v>
      </c>
      <c r="BO48" s="217">
        <f>'расчет цен и скидок'!BO48</f>
        <v>0</v>
      </c>
      <c r="BP48" s="217">
        <f>'расчет цен и скидок'!BP48</f>
        <v>0</v>
      </c>
      <c r="BQ48" s="217">
        <f>'расчет цен и скидок'!BQ48</f>
        <v>0</v>
      </c>
      <c r="BR48" s="217">
        <f>'расчет цен и скидок'!BR48</f>
        <v>0</v>
      </c>
      <c r="BS48" s="217">
        <f>'расчет цен и скидок'!BS48</f>
        <v>0</v>
      </c>
      <c r="BT48" s="217">
        <f>'расчет цен и скидок'!BT48</f>
        <v>0</v>
      </c>
      <c r="BU48" s="217">
        <f>'расчет цен и скидок'!BU48</f>
        <v>0</v>
      </c>
      <c r="BV48" s="217">
        <f>'расчет цен и скидок'!BV48</f>
        <v>0</v>
      </c>
      <c r="BW48" s="217">
        <f>'расчет цен и скидок'!BW48</f>
        <v>0</v>
      </c>
      <c r="BX48" s="217">
        <f>'расчет цен и скидок'!BX48</f>
        <v>0</v>
      </c>
      <c r="BY48" s="217">
        <f>'расчет цен и скидок'!BY48</f>
        <v>0</v>
      </c>
      <c r="BZ48" s="217">
        <f>'расчет цен и скидок'!BZ48</f>
        <v>0</v>
      </c>
      <c r="CA48" s="217">
        <f>'расчет цен и скидок'!CA48</f>
        <v>0</v>
      </c>
      <c r="CB48" s="217">
        <f>'расчет цен и скидок'!CB48</f>
        <v>0</v>
      </c>
      <c r="CC48" s="217">
        <f>'расчет цен и скидок'!CC48</f>
        <v>0</v>
      </c>
      <c r="CD48" s="217">
        <f>'расчет цен и скидок'!CD48</f>
        <v>0</v>
      </c>
      <c r="CE48" s="217">
        <f>'расчет цен и скидок'!CE48</f>
        <v>0</v>
      </c>
      <c r="CF48" s="217">
        <f>'расчет цен и скидок'!CF48</f>
        <v>0</v>
      </c>
      <c r="CG48" s="217">
        <f>'расчет цен и скидок'!CG48</f>
        <v>0</v>
      </c>
      <c r="CH48" s="217">
        <f>'расчет цен и скидок'!CH48</f>
        <v>0</v>
      </c>
      <c r="CI48" s="217">
        <f>'расчет цен и скидок'!CI48</f>
        <v>0</v>
      </c>
      <c r="CJ48" s="217">
        <f>'расчет цен и скидок'!CJ48</f>
        <v>0</v>
      </c>
      <c r="CK48" s="217">
        <f>'расчет цен и скидок'!CK48</f>
        <v>0</v>
      </c>
      <c r="CL48" s="217">
        <f>'расчет цен и скидок'!CL48</f>
        <v>0</v>
      </c>
      <c r="CM48" s="217">
        <f>'расчет цен и скидок'!CM48</f>
        <v>0</v>
      </c>
      <c r="CN48" s="217">
        <f>'расчет цен и скидок'!CN48</f>
        <v>0</v>
      </c>
    </row>
    <row r="49" spans="1:92" s="217" customFormat="1" ht="15.75">
      <c r="A49" s="279" t="str">
        <f>'расчет цен и скидок'!A49</f>
        <v>ШБ 22</v>
      </c>
      <c r="B49" s="309" t="str">
        <f>'расчет цен и скидок'!B49</f>
        <v>Стоимость 1 т с учетом поддона</v>
      </c>
      <c r="C49" s="219">
        <f>'расчет цен и скидок'!C49</f>
        <v>0</v>
      </c>
      <c r="D49" s="219">
        <f>'расчет цен и скидок'!D49</f>
        <v>0</v>
      </c>
      <c r="E49" s="219">
        <f>'расчет цен и скидок'!E49</f>
        <v>0</v>
      </c>
      <c r="F49" s="219">
        <f>'расчет цен и скидок'!F49</f>
        <v>0</v>
      </c>
      <c r="G49" s="219">
        <f>'расчет цен и скидок'!G49</f>
        <v>0</v>
      </c>
      <c r="H49" s="219">
        <f>'расчет цен и скидок'!H49</f>
        <v>0</v>
      </c>
      <c r="I49" s="219">
        <f>'расчет цен и скидок'!I49</f>
        <v>0</v>
      </c>
      <c r="J49" s="219">
        <f>'расчет цен и скидок'!J49</f>
        <v>0</v>
      </c>
      <c r="K49" s="220">
        <f>'расчет цен и скидок'!K49</f>
        <v>5478</v>
      </c>
      <c r="L49" s="220">
        <f>'расчет цен и скидок'!L49</f>
        <v>6464.04</v>
      </c>
      <c r="M49" s="220">
        <f>'расчет цен и скидок'!M49</f>
        <v>0</v>
      </c>
      <c r="N49" s="244">
        <f>'расчет цен и скидок'!N49</f>
        <v>5860.092</v>
      </c>
      <c r="O49" s="244">
        <f>'расчет цен и скидок'!O49</f>
        <v>6914.91</v>
      </c>
      <c r="P49" s="232">
        <f>'расчет цен и скидок'!P49</f>
        <v>5860.17</v>
      </c>
      <c r="Q49" s="233">
        <f>'расчет цен и скидок'!Q49</f>
        <v>1054.83</v>
      </c>
      <c r="R49" s="234">
        <f>'расчет цен и скидок'!R49</f>
        <v>6915</v>
      </c>
      <c r="S49" s="223">
        <f>'расчет цен и скидок'!S49</f>
        <v>0</v>
      </c>
      <c r="T49" s="224">
        <f>'расчет цен и скидок'!T49</f>
        <v>0.06975049659346166</v>
      </c>
      <c r="U49" s="295">
        <f>'расчет цен и скидок'!U49</f>
        <v>0.05</v>
      </c>
      <c r="V49" s="292">
        <f>'расчет цен и скидок'!V49</f>
        <v>5598.092</v>
      </c>
      <c r="W49" s="292">
        <f>'расчет цен и скидок'!W49</f>
        <v>5598</v>
      </c>
      <c r="X49" s="292">
        <f>'расчет цен и скидок'!X49</f>
        <v>6605.639999999999</v>
      </c>
      <c r="Y49" s="290">
        <f>'расчет цен и скидок'!Y49</f>
        <v>0</v>
      </c>
      <c r="Z49" s="291">
        <f>'расчет цен и скидок'!Z49</f>
        <v>0.08</v>
      </c>
      <c r="AA49" s="292">
        <f>'расчет цен и скидок'!AA49</f>
        <v>5459.49</v>
      </c>
      <c r="AB49" s="292">
        <f>'расчет цен и скидок'!AB49</f>
        <v>6442.1982</v>
      </c>
      <c r="AC49" s="227">
        <f>'расчет цен и скидок'!AC49</f>
        <v>0</v>
      </c>
      <c r="AD49" s="239">
        <f>'расчет цен и скидок'!AD49</f>
        <v>0</v>
      </c>
      <c r="AE49" s="239">
        <f>'расчет цен и скидок'!AE49</f>
        <v>0</v>
      </c>
      <c r="AF49" s="239">
        <f>'расчет цен и скидок'!AF49</f>
        <v>0</v>
      </c>
      <c r="AG49" s="239">
        <f>'расчет цен и скидок'!AG49</f>
        <v>0</v>
      </c>
      <c r="AH49" s="239">
        <f>'расчет цен и скидок'!AH49</f>
        <v>0</v>
      </c>
      <c r="AI49" s="239">
        <f>'расчет цен и скидок'!AI49</f>
        <v>0</v>
      </c>
      <c r="AJ49" s="229">
        <f>'расчет цен и скидок'!AJ49</f>
        <v>0</v>
      </c>
      <c r="AK49" s="227">
        <f>'расчет цен и скидок'!AK49</f>
        <v>0</v>
      </c>
      <c r="AL49" s="239">
        <f>'расчет цен и скидок'!AL49</f>
        <v>0</v>
      </c>
      <c r="AM49" s="239">
        <f>'расчет цен и скидок'!AM49</f>
        <v>0</v>
      </c>
      <c r="AN49" s="242">
        <f>'расчет цен и скидок'!AN49</f>
        <v>0</v>
      </c>
      <c r="AO49" s="227">
        <f>'расчет цен и скидок'!AO49</f>
        <v>0</v>
      </c>
      <c r="AP49" s="239">
        <f>'расчет цен и скидок'!AP49</f>
        <v>0</v>
      </c>
      <c r="AQ49" s="239">
        <f>'расчет цен и скидок'!AQ49</f>
        <v>0</v>
      </c>
      <c r="AR49" s="242">
        <f>'расчет цен и скидок'!AR49</f>
        <v>0</v>
      </c>
      <c r="AS49" s="227">
        <f>'расчет цен и скидок'!AS49</f>
        <v>0</v>
      </c>
      <c r="AT49" s="239">
        <f>'расчет цен и скидок'!AT49</f>
        <v>0</v>
      </c>
      <c r="AU49" s="239">
        <f>'расчет цен и скидок'!AU49</f>
        <v>0</v>
      </c>
      <c r="AV49" s="242">
        <f>'расчет цен и скидок'!AV49</f>
        <v>0</v>
      </c>
      <c r="AW49" s="227">
        <f>'расчет цен и скидок'!AW49</f>
        <v>0</v>
      </c>
      <c r="AX49" s="239">
        <f>'расчет цен и скидок'!AX49</f>
        <v>0</v>
      </c>
      <c r="AY49" s="217">
        <f>'расчет цен и скидок'!AY49</f>
        <v>0</v>
      </c>
      <c r="AZ49" s="227">
        <f>'расчет цен и скидок'!AZ49</f>
        <v>0</v>
      </c>
      <c r="BA49" s="239">
        <f>'расчет цен и скидок'!BA49</f>
        <v>0</v>
      </c>
      <c r="BB49" s="217">
        <f>'расчет цен и скидок'!BB49</f>
        <v>0</v>
      </c>
      <c r="BC49" s="227">
        <f>'расчет цен и скидок'!BC49</f>
        <v>0</v>
      </c>
      <c r="BD49" s="217">
        <f>'расчет цен и скидок'!BD49</f>
        <v>0</v>
      </c>
      <c r="BE49" s="217">
        <f>'расчет цен и скидок'!BE49</f>
        <v>0</v>
      </c>
      <c r="BF49" s="218">
        <f>'расчет цен и скидок'!BF49</f>
        <v>0</v>
      </c>
      <c r="BG49" s="239">
        <f>'расчет цен и скидок'!BG49</f>
        <v>0</v>
      </c>
      <c r="BH49" s="217">
        <f>'расчет цен и скидок'!BH49</f>
        <v>0</v>
      </c>
      <c r="BI49" s="227">
        <f>'расчет цен и скидок'!BI49</f>
        <v>0</v>
      </c>
      <c r="BJ49" s="239">
        <f>'расчет цен и скидок'!BJ49</f>
        <v>0</v>
      </c>
      <c r="BK49" s="217">
        <f>'расчет цен и скидок'!BK49</f>
        <v>0</v>
      </c>
      <c r="BL49" s="217">
        <f>'расчет цен и скидок'!BL49</f>
        <v>0</v>
      </c>
      <c r="BM49" s="217">
        <f>'расчет цен и скидок'!BM49</f>
        <v>0</v>
      </c>
      <c r="BN49" s="217">
        <f>'расчет цен и скидок'!BN49</f>
        <v>0</v>
      </c>
      <c r="BO49" s="217">
        <f>'расчет цен и скидок'!BO49</f>
        <v>0</v>
      </c>
      <c r="BP49" s="217">
        <f>'расчет цен и скидок'!BP49</f>
        <v>0</v>
      </c>
      <c r="BQ49" s="217">
        <f>'расчет цен и скидок'!BQ49</f>
        <v>0</v>
      </c>
      <c r="BR49" s="217">
        <f>'расчет цен и скидок'!BR49</f>
        <v>0</v>
      </c>
      <c r="BS49" s="217">
        <f>'расчет цен и скидок'!BS49</f>
        <v>0</v>
      </c>
      <c r="BT49" s="217">
        <f>'расчет цен и скидок'!BT49</f>
        <v>0</v>
      </c>
      <c r="BU49" s="217">
        <f>'расчет цен и скидок'!BU49</f>
        <v>0</v>
      </c>
      <c r="BV49" s="217">
        <f>'расчет цен и скидок'!BV49</f>
        <v>0</v>
      </c>
      <c r="BW49" s="217">
        <f>'расчет цен и скидок'!BW49</f>
        <v>0</v>
      </c>
      <c r="BX49" s="217">
        <f>'расчет цен и скидок'!BX49</f>
        <v>0</v>
      </c>
      <c r="BY49" s="217">
        <f>'расчет цен и скидок'!BY49</f>
        <v>0</v>
      </c>
      <c r="BZ49" s="217">
        <f>'расчет цен и скидок'!BZ49</f>
        <v>0</v>
      </c>
      <c r="CA49" s="217">
        <f>'расчет цен и скидок'!CA49</f>
        <v>0</v>
      </c>
      <c r="CB49" s="217">
        <f>'расчет цен и скидок'!CB49</f>
        <v>0</v>
      </c>
      <c r="CC49" s="217">
        <f>'расчет цен и скидок'!CC49</f>
        <v>0</v>
      </c>
      <c r="CD49" s="217">
        <f>'расчет цен и скидок'!CD49</f>
        <v>0</v>
      </c>
      <c r="CE49" s="217">
        <f>'расчет цен и скидок'!CE49</f>
        <v>0</v>
      </c>
      <c r="CF49" s="217">
        <f>'расчет цен и скидок'!CF49</f>
        <v>0</v>
      </c>
      <c r="CG49" s="217">
        <f>'расчет цен и скидок'!CG49</f>
        <v>0</v>
      </c>
      <c r="CH49" s="217">
        <f>'расчет цен и скидок'!CH49</f>
        <v>0</v>
      </c>
      <c r="CI49" s="217">
        <f>'расчет цен и скидок'!CI49</f>
        <v>0</v>
      </c>
      <c r="CJ49" s="217">
        <f>'расчет цен и скидок'!CJ49</f>
        <v>0</v>
      </c>
      <c r="CK49" s="217">
        <f>'расчет цен и скидок'!CK49</f>
        <v>0</v>
      </c>
      <c r="CL49" s="217">
        <f>'расчет цен и скидок'!CL49</f>
        <v>0</v>
      </c>
      <c r="CM49" s="217">
        <f>'расчет цен и скидок'!CM49</f>
        <v>0</v>
      </c>
      <c r="CN49" s="217">
        <f>'расчет цен и скидок'!CN49</f>
        <v>0</v>
      </c>
    </row>
    <row r="50" spans="1:92" s="217" customFormat="1" ht="25.5">
      <c r="A50" s="279" t="str">
        <f>'расчет цен и скидок'!A50</f>
        <v>ШБ 22</v>
      </c>
      <c r="B50" s="309" t="str">
        <f>'расчет цен и скидок'!B50</f>
        <v>Стоимость 1 кирпича без учета упаковки (поддона)</v>
      </c>
      <c r="C50" s="219">
        <f>'расчет цен и скидок'!C50</f>
        <v>0</v>
      </c>
      <c r="D50" s="219">
        <f>'расчет цен и скидок'!D50</f>
        <v>0</v>
      </c>
      <c r="E50" s="219">
        <f>'расчет цен и скидок'!E50</f>
        <v>0</v>
      </c>
      <c r="F50" s="219">
        <f>'расчет цен и скидок'!F50</f>
        <v>0</v>
      </c>
      <c r="G50" s="219">
        <f>'расчет цен и скидок'!G50</f>
        <v>0</v>
      </c>
      <c r="H50" s="219">
        <f>'расчет цен и скидок'!H50</f>
        <v>0</v>
      </c>
      <c r="I50" s="219">
        <f>'расчет цен и скидок'!I50</f>
        <v>0</v>
      </c>
      <c r="J50" s="219">
        <f>'расчет цен и скидок'!J50</f>
        <v>0</v>
      </c>
      <c r="K50" s="231">
        <f>'расчет цен и скидок'!K50</f>
        <v>15.922619047619047</v>
      </c>
      <c r="L50" s="231">
        <f>'расчет цен и скидок'!L50</f>
        <v>18.79</v>
      </c>
      <c r="M50" s="231">
        <f>'расчет цен и скидок'!M50</f>
        <v>0</v>
      </c>
      <c r="N50" s="231">
        <f>'расчет цен и скидок'!N50</f>
        <v>17.037202380952383</v>
      </c>
      <c r="O50" s="221">
        <f>'расчет цен и скидок'!O50</f>
        <v>20.103898809523812</v>
      </c>
      <c r="P50" s="232">
        <f>'расчет цен и скидок'!P50</f>
        <v>17.037202380952383</v>
      </c>
      <c r="Q50" s="233">
        <f>'расчет цен и скидок'!Q50</f>
        <v>3.066696428571429</v>
      </c>
      <c r="R50" s="234">
        <f>'расчет цен и скидок'!R50</f>
        <v>20.103898809523812</v>
      </c>
      <c r="S50" s="223">
        <f>'расчет цен и скидок'!S50</f>
        <v>0.07</v>
      </c>
      <c r="T50" s="224">
        <f>'расчет цен и скидок'!T50</f>
        <v>0.06992542892622743</v>
      </c>
      <c r="U50" s="300">
        <f>'расчет цен и скидок'!U50</f>
        <v>0.05</v>
      </c>
      <c r="V50" s="298">
        <f>'расчет цен и скидок'!V50</f>
        <v>16.185342261904765</v>
      </c>
      <c r="W50" s="292">
        <f>'расчет цен и скидок'!W50</f>
        <v>16.185342261904765</v>
      </c>
      <c r="X50" s="233">
        <f>'расчет цен и скидок'!X50</f>
        <v>19.098703869047622</v>
      </c>
      <c r="Y50" s="290">
        <f>'расчет цен и скидок'!Y50</f>
        <v>0</v>
      </c>
      <c r="Z50" s="291">
        <f>'расчет цен и скидок'!Z50</f>
        <v>0.08</v>
      </c>
      <c r="AA50" s="292">
        <f>'расчет цен и скидок'!AA50</f>
        <v>15.674226190476192</v>
      </c>
      <c r="AB50" s="233">
        <f>'расчет цен и скидок'!AB50</f>
        <v>18.495586904761907</v>
      </c>
      <c r="AC50" s="227">
        <f>'расчет цен и скидок'!AC50</f>
        <v>0</v>
      </c>
      <c r="AD50" s="239">
        <f>'расчет цен и скидок'!AD50</f>
        <v>0</v>
      </c>
      <c r="AE50" s="239">
        <f>'расчет цен и скидок'!AE50</f>
        <v>0</v>
      </c>
      <c r="AF50" s="239">
        <f>'расчет цен и скидок'!AF50</f>
        <v>0</v>
      </c>
      <c r="AG50" s="239">
        <f>'расчет цен и скидок'!AG50</f>
        <v>0</v>
      </c>
      <c r="AH50" s="239">
        <f>'расчет цен и скидок'!AH50</f>
        <v>0</v>
      </c>
      <c r="AI50" s="239">
        <f>'расчет цен и скидок'!AI50</f>
        <v>0</v>
      </c>
      <c r="AJ50" s="229" t="e">
        <f>'расчет цен и скидок'!AJ50</f>
        <v>#DIV/0!</v>
      </c>
      <c r="AK50" s="227">
        <f>'расчет цен и скидок'!AK50</f>
        <v>0</v>
      </c>
      <c r="AL50" s="239">
        <f>'расчет цен и скидок'!AL50</f>
        <v>0</v>
      </c>
      <c r="AM50" s="239">
        <f>'расчет цен и скидок'!AM50</f>
        <v>0</v>
      </c>
      <c r="AN50" s="239">
        <f>'расчет цен и скидок'!AN50</f>
        <v>0</v>
      </c>
      <c r="AO50" s="227">
        <f>'расчет цен и скидок'!AO50</f>
        <v>0</v>
      </c>
      <c r="AP50" s="239">
        <f>'расчет цен и скидок'!AP50</f>
        <v>0</v>
      </c>
      <c r="AQ50" s="239">
        <f>'расчет цен и скидок'!AQ50</f>
        <v>0</v>
      </c>
      <c r="AR50" s="239">
        <f>'расчет цен и скидок'!AR50</f>
        <v>0</v>
      </c>
      <c r="AS50" s="227">
        <f>'расчет цен и скидок'!AS50</f>
        <v>0</v>
      </c>
      <c r="AT50" s="239">
        <f>'расчет цен и скидок'!AT50</f>
        <v>0</v>
      </c>
      <c r="AU50" s="239">
        <f>'расчет цен и скидок'!AU50</f>
        <v>0</v>
      </c>
      <c r="AV50" s="239">
        <f>'расчет цен и скидок'!AV50</f>
        <v>0</v>
      </c>
      <c r="AW50" s="227">
        <f>'расчет цен и скидок'!AW50</f>
        <v>0</v>
      </c>
      <c r="AX50" s="239">
        <f>'расчет цен и скидок'!AX50</f>
        <v>0</v>
      </c>
      <c r="AY50" s="217">
        <f>'расчет цен и скидок'!AY50</f>
        <v>0</v>
      </c>
      <c r="AZ50" s="227">
        <f>'расчет цен и скидок'!AZ50</f>
        <v>0</v>
      </c>
      <c r="BA50" s="239">
        <f>'расчет цен и скидок'!BA50</f>
        <v>0</v>
      </c>
      <c r="BB50" s="217">
        <f>'расчет цен и скидок'!BB50</f>
        <v>0</v>
      </c>
      <c r="BC50" s="227">
        <f>'расчет цен и скидок'!BC50</f>
        <v>0</v>
      </c>
      <c r="BD50" s="217">
        <f>'расчет цен и скидок'!BD50</f>
        <v>0</v>
      </c>
      <c r="BE50" s="217">
        <f>'расчет цен и скидок'!BE50</f>
        <v>0</v>
      </c>
      <c r="BF50" s="218">
        <f>'расчет цен и скидок'!BF50</f>
        <v>0</v>
      </c>
      <c r="BG50" s="239">
        <f>'расчет цен и скидок'!BG50</f>
        <v>0</v>
      </c>
      <c r="BH50" s="217">
        <f>'расчет цен и скидок'!BH50</f>
        <v>0</v>
      </c>
      <c r="BI50" s="227">
        <f>'расчет цен и скидок'!BI50</f>
        <v>0</v>
      </c>
      <c r="BJ50" s="239">
        <f>'расчет цен и скидок'!BJ50</f>
        <v>0</v>
      </c>
      <c r="BK50" s="217">
        <f>'расчет цен и скидок'!BK50</f>
        <v>0</v>
      </c>
      <c r="BL50" s="217">
        <f>'расчет цен и скидок'!BL50</f>
        <v>0</v>
      </c>
      <c r="BM50" s="217">
        <f>'расчет цен и скидок'!BM50</f>
        <v>0</v>
      </c>
      <c r="BN50" s="217">
        <f>'расчет цен и скидок'!BN50</f>
        <v>0</v>
      </c>
      <c r="BO50" s="217">
        <f>'расчет цен и скидок'!BO50</f>
        <v>0</v>
      </c>
      <c r="BP50" s="217">
        <f>'расчет цен и скидок'!BP50</f>
        <v>0</v>
      </c>
      <c r="BQ50" s="217">
        <f>'расчет цен и скидок'!BQ50</f>
        <v>0</v>
      </c>
      <c r="BR50" s="217">
        <f>'расчет цен и скидок'!BR50</f>
        <v>0</v>
      </c>
      <c r="BS50" s="217">
        <f>'расчет цен и скидок'!BS50</f>
        <v>0</v>
      </c>
      <c r="BT50" s="217">
        <f>'расчет цен и скидок'!BT50</f>
        <v>0</v>
      </c>
      <c r="BU50" s="217">
        <f>'расчет цен и скидок'!BU50</f>
        <v>0</v>
      </c>
      <c r="BV50" s="217">
        <f>'расчет цен и скидок'!BV50</f>
        <v>0</v>
      </c>
      <c r="BW50" s="217">
        <f>'расчет цен и скидок'!BW50</f>
        <v>0</v>
      </c>
      <c r="BX50" s="217">
        <f>'расчет цен и скидок'!BX50</f>
        <v>0</v>
      </c>
      <c r="BY50" s="217">
        <f>'расчет цен и скидок'!BY50</f>
        <v>0</v>
      </c>
      <c r="BZ50" s="217">
        <f>'расчет цен и скидок'!BZ50</f>
        <v>0</v>
      </c>
      <c r="CA50" s="217">
        <f>'расчет цен и скидок'!CA50</f>
        <v>0</v>
      </c>
      <c r="CB50" s="217">
        <f>'расчет цен и скидок'!CB50</f>
        <v>0</v>
      </c>
      <c r="CC50" s="217">
        <f>'расчет цен и скидок'!CC50</f>
        <v>0</v>
      </c>
      <c r="CD50" s="217">
        <f>'расчет цен и скидок'!CD50</f>
        <v>0</v>
      </c>
      <c r="CE50" s="217">
        <f>'расчет цен и скидок'!CE50</f>
        <v>0</v>
      </c>
      <c r="CF50" s="217">
        <f>'расчет цен и скидок'!CF50</f>
        <v>0</v>
      </c>
      <c r="CG50" s="217">
        <f>'расчет цен и скидок'!CG50</f>
        <v>0</v>
      </c>
      <c r="CH50" s="217">
        <f>'расчет цен и скидок'!CH50</f>
        <v>0</v>
      </c>
      <c r="CI50" s="217">
        <f>'расчет цен и скидок'!CI50</f>
        <v>0</v>
      </c>
      <c r="CJ50" s="217">
        <f>'расчет цен и скидок'!CJ50</f>
        <v>0</v>
      </c>
      <c r="CK50" s="217">
        <f>'расчет цен и скидок'!CK50</f>
        <v>0</v>
      </c>
      <c r="CL50" s="217">
        <f>'расчет цен и скидок'!CL50</f>
        <v>0</v>
      </c>
      <c r="CM50" s="217">
        <f>'расчет цен и скидок'!CM50</f>
        <v>0</v>
      </c>
      <c r="CN50" s="217">
        <f>'расчет цен и скидок'!CN50</f>
        <v>0</v>
      </c>
    </row>
    <row r="51" spans="1:92" s="217" customFormat="1" ht="25.5">
      <c r="A51" s="279" t="str">
        <f>'расчет цен и скидок'!A51</f>
        <v>ШБ 22</v>
      </c>
      <c r="B51" s="309" t="str">
        <f>'расчет цен и скидок'!B51</f>
        <v>Стоимость 1 кирпича с учетом  упаковки (поддона)</v>
      </c>
      <c r="C51" s="219">
        <f>'расчет цен и скидок'!C51</f>
        <v>0</v>
      </c>
      <c r="D51" s="219">
        <f>'расчет цен и скидок'!D51</f>
        <v>0</v>
      </c>
      <c r="E51" s="219">
        <f>'расчет цен и скидок'!E51</f>
        <v>0</v>
      </c>
      <c r="F51" s="219">
        <f>'расчет цен и скидок'!F51</f>
        <v>0</v>
      </c>
      <c r="G51" s="219">
        <f>'расчет цен и скидок'!G51</f>
        <v>0</v>
      </c>
      <c r="H51" s="219">
        <f>'расчет цен и скидок'!H51</f>
        <v>0</v>
      </c>
      <c r="I51" s="219">
        <f>'расчет цен и скидок'!I51</f>
        <v>0</v>
      </c>
      <c r="J51" s="219">
        <f>'расчет цен и скидок'!J51</f>
        <v>0</v>
      </c>
      <c r="K51" s="220">
        <f>'расчет цен и скидок'!K51</f>
        <v>16.303571428571427</v>
      </c>
      <c r="L51" s="220">
        <f>'расчет цен и скидок'!L51</f>
        <v>19.23952380952381</v>
      </c>
      <c r="M51" s="220">
        <f>'расчет цен и скидок'!M51</f>
        <v>0</v>
      </c>
      <c r="N51" s="244">
        <f>'расчет цен и скидок'!N51</f>
        <v>17.44075</v>
      </c>
      <c r="O51" s="247">
        <f>'расчет цен и скидок'!O51</f>
        <v>20.580089285714287</v>
      </c>
      <c r="P51" s="232">
        <f>'расчет цен и скидок'!P51</f>
        <v>17.44075</v>
      </c>
      <c r="Q51" s="233">
        <f>'расчет цен и скидок'!Q51</f>
        <v>3.1393350000000004</v>
      </c>
      <c r="R51" s="248">
        <f>'расчет цен и скидок'!R51</f>
        <v>20.580085</v>
      </c>
      <c r="S51" s="223">
        <f>'расчет цен и скидок'!S51</f>
        <v>0</v>
      </c>
      <c r="T51" s="224">
        <f>'расчет цен и скидок'!T51</f>
        <v>0.06967768482538429</v>
      </c>
      <c r="U51" s="295">
        <f>'расчет цен и скидок'!U51</f>
        <v>0.05</v>
      </c>
      <c r="V51" s="297">
        <f>'расчет цен и скидок'!V51</f>
        <v>18.260442952380952</v>
      </c>
      <c r="W51" s="292">
        <f>'расчет цен и скидок'!W51</f>
        <v>18.260442952380952</v>
      </c>
      <c r="X51" s="233">
        <f>'расчет цен и скидок'!X51</f>
        <v>21.547322683809522</v>
      </c>
      <c r="Y51" s="290">
        <f>'расчет цен и скидок'!Y51</f>
        <v>0</v>
      </c>
      <c r="Z51" s="291">
        <f>'расчет цен и скидок'!Z51</f>
        <v>0.08</v>
      </c>
      <c r="AA51" s="298">
        <f>'расчет цен и скидок'!AA51</f>
        <v>17.80833642857143</v>
      </c>
      <c r="AB51" s="299">
        <f>'расчет цен и скидок'!AB51</f>
        <v>21.013836985714285</v>
      </c>
      <c r="AC51" s="227">
        <f>'расчет цен и скидок'!AC51</f>
        <v>0</v>
      </c>
      <c r="AD51" s="239">
        <f>'расчет цен и скидок'!AD51</f>
        <v>0</v>
      </c>
      <c r="AE51" s="239">
        <f>'расчет цен и скидок'!AE51</f>
        <v>0</v>
      </c>
      <c r="AF51" s="239">
        <f>'расчет цен и скидок'!AF51</f>
        <v>0</v>
      </c>
      <c r="AG51" s="239">
        <f>'расчет цен и скидок'!AG51</f>
        <v>0</v>
      </c>
      <c r="AH51" s="239">
        <f>'расчет цен и скидок'!AH51</f>
        <v>0</v>
      </c>
      <c r="AI51" s="239">
        <f>'расчет цен и скидок'!AI51</f>
        <v>0</v>
      </c>
      <c r="AJ51" s="229">
        <f>'расчет цен и скидок'!AJ51</f>
        <v>0</v>
      </c>
      <c r="AK51" s="227">
        <f>'расчет цен и скидок'!AK51</f>
        <v>0</v>
      </c>
      <c r="AL51" s="239">
        <f>'расчет цен и скидок'!AL51</f>
        <v>0</v>
      </c>
      <c r="AM51" s="239">
        <f>'расчет цен и скидок'!AM51</f>
        <v>0</v>
      </c>
      <c r="AN51" s="239">
        <f>'расчет цен и скидок'!AN51</f>
        <v>0</v>
      </c>
      <c r="AO51" s="227">
        <f>'расчет цен и скидок'!AO51</f>
        <v>0</v>
      </c>
      <c r="AP51" s="239">
        <f>'расчет цен и скидок'!AP51</f>
        <v>0</v>
      </c>
      <c r="AQ51" s="239">
        <f>'расчет цен и скидок'!AQ51</f>
        <v>0</v>
      </c>
      <c r="AR51" s="239">
        <f>'расчет цен и скидок'!AR51</f>
        <v>0</v>
      </c>
      <c r="AS51" s="227">
        <f>'расчет цен и скидок'!AS51</f>
        <v>0</v>
      </c>
      <c r="AT51" s="239">
        <f>'расчет цен и скидок'!AT51</f>
        <v>0</v>
      </c>
      <c r="AU51" s="239">
        <f>'расчет цен и скидок'!AU51</f>
        <v>0</v>
      </c>
      <c r="AV51" s="239">
        <f>'расчет цен и скидок'!AV51</f>
        <v>0</v>
      </c>
      <c r="AW51" s="227">
        <f>'расчет цен и скидок'!AW51</f>
        <v>0</v>
      </c>
      <c r="AX51" s="239">
        <f>'расчет цен и скидок'!AX51</f>
        <v>0</v>
      </c>
      <c r="AY51" s="217">
        <f>'расчет цен и скидок'!AY51</f>
        <v>0</v>
      </c>
      <c r="AZ51" s="227">
        <f>'расчет цен и скидок'!AZ51</f>
        <v>0</v>
      </c>
      <c r="BA51" s="239">
        <f>'расчет цен и скидок'!BA51</f>
        <v>0</v>
      </c>
      <c r="BB51" s="217">
        <f>'расчет цен и скидок'!BB51</f>
        <v>0</v>
      </c>
      <c r="BC51" s="227">
        <f>'расчет цен и скидок'!BC51</f>
        <v>0</v>
      </c>
      <c r="BD51" s="217">
        <f>'расчет цен и скидок'!BD51</f>
        <v>0</v>
      </c>
      <c r="BE51" s="217">
        <f>'расчет цен и скидок'!BE51</f>
        <v>0</v>
      </c>
      <c r="BF51" s="218">
        <f>'расчет цен и скидок'!BF51</f>
        <v>0</v>
      </c>
      <c r="BG51" s="239">
        <f>'расчет цен и скидок'!BG51</f>
        <v>0</v>
      </c>
      <c r="BH51" s="217">
        <f>'расчет цен и скидок'!BH51</f>
        <v>0</v>
      </c>
      <c r="BI51" s="227">
        <f>'расчет цен и скидок'!BI51</f>
        <v>0</v>
      </c>
      <c r="BJ51" s="239">
        <f>'расчет цен и скидок'!BJ51</f>
        <v>0</v>
      </c>
      <c r="BK51" s="217">
        <f>'расчет цен и скидок'!BK51</f>
        <v>0</v>
      </c>
      <c r="BL51" s="217">
        <f>'расчет цен и скидок'!BL51</f>
        <v>0</v>
      </c>
      <c r="BM51" s="217">
        <f>'расчет цен и скидок'!BM51</f>
        <v>0</v>
      </c>
      <c r="BN51" s="217">
        <f>'расчет цен и скидок'!BN51</f>
        <v>0</v>
      </c>
      <c r="BO51" s="217">
        <f>'расчет цен и скидок'!BO51</f>
        <v>0</v>
      </c>
      <c r="BP51" s="217">
        <f>'расчет цен и скидок'!BP51</f>
        <v>0</v>
      </c>
      <c r="BQ51" s="217">
        <f>'расчет цен и скидок'!BQ51</f>
        <v>0</v>
      </c>
      <c r="BR51" s="217">
        <f>'расчет цен и скидок'!BR51</f>
        <v>0</v>
      </c>
      <c r="BS51" s="217">
        <f>'расчет цен и скидок'!BS51</f>
        <v>0</v>
      </c>
      <c r="BT51" s="217">
        <f>'расчет цен и скидок'!BT51</f>
        <v>0</v>
      </c>
      <c r="BU51" s="217">
        <f>'расчет цен и скидок'!BU51</f>
        <v>0</v>
      </c>
      <c r="BV51" s="217">
        <f>'расчет цен и скидок'!BV51</f>
        <v>0</v>
      </c>
      <c r="BW51" s="217">
        <f>'расчет цен и скидок'!BW51</f>
        <v>0</v>
      </c>
      <c r="BX51" s="217">
        <f>'расчет цен и скидок'!BX51</f>
        <v>0</v>
      </c>
      <c r="BY51" s="217">
        <f>'расчет цен и скидок'!BY51</f>
        <v>0</v>
      </c>
      <c r="BZ51" s="217">
        <f>'расчет цен и скидок'!BZ51</f>
        <v>0</v>
      </c>
      <c r="CA51" s="217">
        <f>'расчет цен и скидок'!CA51</f>
        <v>0</v>
      </c>
      <c r="CB51" s="217">
        <f>'расчет цен и скидок'!CB51</f>
        <v>0</v>
      </c>
      <c r="CC51" s="217">
        <f>'расчет цен и скидок'!CC51</f>
        <v>0</v>
      </c>
      <c r="CD51" s="217">
        <f>'расчет цен и скидок'!CD51</f>
        <v>0</v>
      </c>
      <c r="CE51" s="217">
        <f>'расчет цен и скидок'!CE51</f>
        <v>0</v>
      </c>
      <c r="CF51" s="217">
        <f>'расчет цен и скидок'!CF51</f>
        <v>0</v>
      </c>
      <c r="CG51" s="217">
        <f>'расчет цен и скидок'!CG51</f>
        <v>0</v>
      </c>
      <c r="CH51" s="217">
        <f>'расчет цен и скидок'!CH51</f>
        <v>0</v>
      </c>
      <c r="CI51" s="217">
        <f>'расчет цен и скидок'!CI51</f>
        <v>0</v>
      </c>
      <c r="CJ51" s="217">
        <f>'расчет цен и скидок'!CJ51</f>
        <v>0</v>
      </c>
      <c r="CK51" s="217">
        <f>'расчет цен и скидок'!CK51</f>
        <v>0</v>
      </c>
      <c r="CL51" s="217">
        <f>'расчет цен и скидок'!CL51</f>
        <v>0</v>
      </c>
      <c r="CM51" s="217">
        <f>'расчет цен и скидок'!CM51</f>
        <v>0</v>
      </c>
      <c r="CN51" s="217">
        <f>'расчет цен и скидок'!CN51</f>
        <v>0</v>
      </c>
    </row>
    <row r="52" spans="1:92" ht="15.75">
      <c r="A52" s="279" t="str">
        <f>'расчет цен и скидок'!A52</f>
        <v>ШБ 22</v>
      </c>
      <c r="B52" s="308" t="str">
        <f>'расчет цен и скидок'!B52</f>
        <v>1 поддон (420 кирпичей, около 1,370 тонн)</v>
      </c>
      <c r="C52" s="219">
        <f>'расчет цен и скидок'!C52</f>
        <v>0</v>
      </c>
      <c r="D52" s="219">
        <f>'расчет цен и скидок'!D52</f>
        <v>0</v>
      </c>
      <c r="E52" s="219">
        <f>'расчет цен и скидок'!E52</f>
        <v>0</v>
      </c>
      <c r="F52" s="219">
        <f>'расчет цен и скидок'!F52</f>
        <v>0</v>
      </c>
      <c r="G52" s="219">
        <f>'расчет цен и скидок'!G52</f>
        <v>0</v>
      </c>
      <c r="H52" s="219">
        <f>'расчет цен и скидок'!H52</f>
        <v>0</v>
      </c>
      <c r="I52" s="219">
        <f>'расчет цен и скидок'!I52</f>
        <v>0</v>
      </c>
      <c r="J52" s="219">
        <f>'расчет цен и скидок'!J52</f>
        <v>0</v>
      </c>
      <c r="K52" s="231">
        <f>'расчет цен и скидок'!K52</f>
        <v>0</v>
      </c>
      <c r="L52" s="231">
        <f>'расчет цен и скидок'!L52</f>
        <v>0</v>
      </c>
      <c r="M52" s="231">
        <f>'расчет цен и скидок'!M52</f>
        <v>0</v>
      </c>
      <c r="N52" s="221">
        <f>'расчет цен и скидок'!N52</f>
        <v>0</v>
      </c>
      <c r="O52" s="221">
        <f>'расчет цен и скидок'!O52</f>
        <v>0</v>
      </c>
      <c r="P52" s="232">
        <f>'расчет цен и скидок'!P52</f>
        <v>0</v>
      </c>
      <c r="Q52" s="233">
        <f>'расчет цен и скидок'!Q52</f>
        <v>0</v>
      </c>
      <c r="R52" s="234">
        <f>'расчет цен и скидок'!R52</f>
        <v>0</v>
      </c>
      <c r="S52" s="223">
        <f>'расчет цен и скидок'!S52</f>
        <v>0</v>
      </c>
      <c r="T52" s="224">
        <f>'расчет цен и скидок'!T52</f>
        <v>0</v>
      </c>
      <c r="U52" s="295">
        <f>'расчет цен и скидок'!U52</f>
        <v>0.05</v>
      </c>
      <c r="V52" s="298">
        <f>'расчет цен и скидок'!V52</f>
        <v>0</v>
      </c>
      <c r="W52" s="292">
        <f>'расчет цен и скидок'!W52</f>
        <v>0</v>
      </c>
      <c r="X52" s="292">
        <f>'расчет цен и скидок'!X52</f>
        <v>0</v>
      </c>
      <c r="Y52" s="290">
        <f>'расчет цен и скидок'!Y52</f>
        <v>0</v>
      </c>
      <c r="Z52" s="291">
        <f>'расчет цен и скидок'!Z52</f>
        <v>0.08</v>
      </c>
      <c r="AA52" s="292">
        <f>'расчет цен и скидок'!AA52</f>
        <v>0</v>
      </c>
      <c r="AB52" s="292">
        <f>'расчет цен и скидок'!AB52</f>
        <v>0</v>
      </c>
      <c r="AC52" s="227">
        <f>'расчет цен и скидок'!AC52</f>
        <v>0</v>
      </c>
      <c r="AD52" s="228">
        <f>'расчет цен и скидок'!AD52</f>
        <v>0</v>
      </c>
      <c r="AE52" s="228">
        <f>'расчет цен и скидок'!AE52</f>
        <v>0</v>
      </c>
      <c r="AF52" s="228">
        <f>'расчет цен и скидок'!AF52</f>
        <v>0</v>
      </c>
      <c r="AG52" s="228">
        <f>'расчет цен и скидок'!AG52</f>
        <v>0</v>
      </c>
      <c r="AH52" s="228">
        <f>'расчет цен и скидок'!AH52</f>
        <v>0</v>
      </c>
      <c r="AI52" s="228">
        <f>'расчет цен и скидок'!AI52</f>
        <v>0</v>
      </c>
      <c r="AJ52" s="229" t="e">
        <f>'расчет цен и скидок'!AJ52</f>
        <v>#DIV/0!</v>
      </c>
      <c r="AK52" s="227">
        <f>'расчет цен и скидок'!AK52</f>
        <v>0</v>
      </c>
      <c r="AL52" s="228">
        <f>'расчет цен и скидок'!AL52</f>
        <v>0</v>
      </c>
      <c r="AM52" s="228">
        <f>'расчет цен и скидок'!AM52</f>
        <v>0</v>
      </c>
      <c r="AN52" s="228">
        <f>'расчет цен и скидок'!AN52</f>
        <v>0</v>
      </c>
      <c r="AO52" s="227">
        <f>'расчет цен и скидок'!AO52</f>
        <v>0</v>
      </c>
      <c r="AP52" s="228">
        <f>'расчет цен и скидок'!AP52</f>
        <v>0</v>
      </c>
      <c r="AQ52" s="228">
        <f>'расчет цен и скидок'!AQ52</f>
        <v>0</v>
      </c>
      <c r="AR52" s="228">
        <f>'расчет цен и скидок'!AR52</f>
        <v>0</v>
      </c>
      <c r="AS52" s="227">
        <f>'расчет цен и скидок'!AS52</f>
        <v>0</v>
      </c>
      <c r="AT52" s="228">
        <f>'расчет цен и скидок'!AT52</f>
        <v>0</v>
      </c>
      <c r="AU52" s="228">
        <f>'расчет цен и скидок'!AU52</f>
        <v>0</v>
      </c>
      <c r="AV52" s="228">
        <f>'расчет цен и скидок'!AV52</f>
        <v>0</v>
      </c>
      <c r="AW52" s="227">
        <f>'расчет цен и скидок'!AW52</f>
        <v>0</v>
      </c>
      <c r="AX52" s="228">
        <f>'расчет цен и скидок'!AX52</f>
        <v>0</v>
      </c>
      <c r="AY52" s="230">
        <f>'расчет цен и скидок'!AY52</f>
        <v>0</v>
      </c>
      <c r="AZ52" s="227">
        <f>'расчет цен и скидок'!AZ52</f>
        <v>0</v>
      </c>
      <c r="BA52" s="228">
        <f>'расчет цен и скидок'!BA52</f>
        <v>0</v>
      </c>
      <c r="BB52" s="230">
        <f>'расчет цен и скидок'!BB52</f>
        <v>0</v>
      </c>
      <c r="BC52" s="227">
        <f>'расчет цен и скидок'!BC52</f>
        <v>0</v>
      </c>
      <c r="BD52" s="230">
        <f>'расчет цен и скидок'!BD52</f>
        <v>0</v>
      </c>
      <c r="BE52" s="230">
        <f>'расчет цен и скидок'!BE52</f>
        <v>0</v>
      </c>
      <c r="BF52" s="218">
        <f>'расчет цен и скидок'!BF52</f>
        <v>0</v>
      </c>
      <c r="BG52" s="228">
        <f>'расчет цен и скидок'!BG52</f>
        <v>0</v>
      </c>
      <c r="BH52" s="230">
        <f>'расчет цен и скидок'!BH52</f>
        <v>0</v>
      </c>
      <c r="BI52" s="227">
        <f>'расчет цен и скидок'!BI52</f>
        <v>0</v>
      </c>
      <c r="BJ52" s="228">
        <f>'расчет цен и скидок'!BJ52</f>
        <v>0</v>
      </c>
      <c r="BK52" s="230">
        <f>'расчет цен и скидок'!BK52</f>
        <v>0</v>
      </c>
      <c r="BL52" s="230">
        <f>'расчет цен и скидок'!BL52</f>
        <v>0</v>
      </c>
      <c r="BM52" s="230">
        <f>'расчет цен и скидок'!BM52</f>
        <v>0</v>
      </c>
      <c r="BN52" s="230">
        <f>'расчет цен и скидок'!BN52</f>
        <v>0</v>
      </c>
      <c r="BO52" s="230">
        <f>'расчет цен и скидок'!BO52</f>
        <v>0</v>
      </c>
      <c r="BP52" s="230">
        <f>'расчет цен и скидок'!BP52</f>
        <v>0</v>
      </c>
      <c r="BQ52" s="230">
        <f>'расчет цен и скидок'!BQ52</f>
        <v>0</v>
      </c>
      <c r="BR52" s="230">
        <f>'расчет цен и скидок'!BR52</f>
        <v>0</v>
      </c>
      <c r="BS52" s="230">
        <f>'расчет цен и скидок'!BS52</f>
        <v>0</v>
      </c>
      <c r="BT52" s="230">
        <f>'расчет цен и скидок'!BT52</f>
        <v>0</v>
      </c>
      <c r="BU52" s="230">
        <f>'расчет цен и скидок'!BU52</f>
        <v>0</v>
      </c>
      <c r="BV52" s="230">
        <f>'расчет цен и скидок'!BV52</f>
        <v>0</v>
      </c>
      <c r="BW52" s="230">
        <f>'расчет цен и скидок'!BW52</f>
        <v>0</v>
      </c>
      <c r="BX52" s="230">
        <f>'расчет цен и скидок'!BX52</f>
        <v>0</v>
      </c>
      <c r="BY52" s="230">
        <f>'расчет цен и скидок'!BY52</f>
        <v>0</v>
      </c>
      <c r="BZ52" s="230">
        <f>'расчет цен и скидок'!BZ52</f>
        <v>0</v>
      </c>
      <c r="CA52" s="230">
        <f>'расчет цен и скидок'!CA52</f>
        <v>0</v>
      </c>
      <c r="CB52" s="230">
        <f>'расчет цен и скидок'!CB52</f>
        <v>0</v>
      </c>
      <c r="CC52" s="230">
        <f>'расчет цен и скидок'!CC52</f>
        <v>0</v>
      </c>
      <c r="CD52" s="230">
        <f>'расчет цен и скидок'!CD52</f>
        <v>0</v>
      </c>
      <c r="CE52" s="230">
        <f>'расчет цен и скидок'!CE52</f>
        <v>0</v>
      </c>
      <c r="CF52" s="230">
        <f>'расчет цен и скидок'!CF52</f>
        <v>0</v>
      </c>
      <c r="CG52" s="230">
        <f>'расчет цен и скидок'!CG52</f>
        <v>0</v>
      </c>
      <c r="CH52" s="230">
        <f>'расчет цен и скидок'!CH52</f>
        <v>0</v>
      </c>
      <c r="CI52" s="230">
        <f>'расчет цен и скидок'!CI52</f>
        <v>0</v>
      </c>
      <c r="CJ52" s="230">
        <f>'расчет цен и скидок'!CJ52</f>
        <v>0</v>
      </c>
      <c r="CK52" s="230">
        <f>'расчет цен и скидок'!CK52</f>
        <v>0</v>
      </c>
      <c r="CL52" s="230">
        <f>'расчет цен и скидок'!CL52</f>
        <v>0</v>
      </c>
      <c r="CM52" s="230">
        <f>'расчет цен и скидок'!CM52</f>
        <v>0</v>
      </c>
      <c r="CN52" s="230">
        <f>'расчет цен и скидок'!CN52</f>
        <v>0</v>
      </c>
    </row>
    <row r="53" spans="1:92" ht="25.5">
      <c r="A53" s="279" t="str">
        <f>'расчет цен и скидок'!A53</f>
        <v>ШБ 22</v>
      </c>
      <c r="B53" s="309" t="str">
        <f>'расчет цен и скидок'!B53</f>
        <v>Стоимость 1 поддона с учетом цены поддона</v>
      </c>
      <c r="C53" s="219">
        <f>'расчет цен и скидок'!C53</f>
        <v>0</v>
      </c>
      <c r="D53" s="219">
        <f>'расчет цен и скидок'!D53</f>
        <v>0</v>
      </c>
      <c r="E53" s="219">
        <f>'расчет цен и скидок'!E53</f>
        <v>0</v>
      </c>
      <c r="F53" s="219">
        <f>'расчет цен и скидок'!F53</f>
        <v>0</v>
      </c>
      <c r="G53" s="219">
        <f>'расчет цен и скидок'!G53</f>
        <v>0</v>
      </c>
      <c r="H53" s="219">
        <f>'расчет цен и скидок'!H53</f>
        <v>0</v>
      </c>
      <c r="I53" s="219">
        <f>'расчет цен и скидок'!I53</f>
        <v>0</v>
      </c>
      <c r="J53" s="219">
        <f>'расчет цен и скидок'!J53</f>
        <v>0</v>
      </c>
      <c r="K53" s="231">
        <f>'расчет цен и скидок'!K53</f>
        <v>0</v>
      </c>
      <c r="L53" s="231">
        <f>'расчет цен и скидок'!L53</f>
        <v>0</v>
      </c>
      <c r="M53" s="231">
        <f>'расчет цен и скидок'!M53</f>
        <v>0</v>
      </c>
      <c r="N53" s="221">
        <f>'расчет цен и скидок'!N53</f>
        <v>0</v>
      </c>
      <c r="O53" s="221">
        <f>'расчет цен и скидок'!O53</f>
        <v>0</v>
      </c>
      <c r="P53" s="232">
        <f>'расчет цен и скидок'!P53</f>
        <v>0</v>
      </c>
      <c r="Q53" s="233">
        <f>'расчет цен и скидок'!Q53</f>
        <v>0</v>
      </c>
      <c r="R53" s="234">
        <f>'расчет цен и скидок'!R53</f>
        <v>0</v>
      </c>
      <c r="S53" s="223">
        <f>'расчет цен и скидок'!S53</f>
        <v>0</v>
      </c>
      <c r="T53" s="224">
        <f>'расчет цен и скидок'!T53</f>
        <v>0</v>
      </c>
      <c r="U53" s="295">
        <f>'расчет цен и скидок'!U53</f>
        <v>0.05</v>
      </c>
      <c r="V53" s="298">
        <f>'расчет цен и скидок'!V53</f>
        <v>0</v>
      </c>
      <c r="W53" s="292">
        <f>'расчет цен и скидок'!W53</f>
        <v>0</v>
      </c>
      <c r="X53" s="292">
        <f>'расчет цен и скидок'!X53</f>
        <v>0</v>
      </c>
      <c r="Y53" s="290">
        <f>'расчет цен и скидок'!Y53</f>
        <v>0</v>
      </c>
      <c r="Z53" s="291">
        <f>'расчет цен и скидок'!Z53</f>
        <v>0</v>
      </c>
      <c r="AA53" s="292">
        <f>'расчет цен и скидок'!AA53</f>
        <v>0</v>
      </c>
      <c r="AB53" s="292">
        <f>'расчет цен и скидок'!AB53</f>
        <v>0</v>
      </c>
      <c r="AC53" s="227">
        <f>'расчет цен и скидок'!AC53</f>
        <v>0</v>
      </c>
      <c r="AD53" s="228">
        <f>'расчет цен и скидок'!AD53</f>
        <v>0</v>
      </c>
      <c r="AE53" s="228">
        <f>'расчет цен и скидок'!AE53</f>
        <v>0</v>
      </c>
      <c r="AF53" s="228">
        <f>'расчет цен и скидок'!AF53</f>
        <v>0</v>
      </c>
      <c r="AG53" s="228">
        <f>'расчет цен и скидок'!AG53</f>
        <v>0</v>
      </c>
      <c r="AH53" s="228">
        <f>'расчет цен и скидок'!AH53</f>
        <v>0</v>
      </c>
      <c r="AI53" s="228">
        <f>'расчет цен и скидок'!AI53</f>
        <v>0</v>
      </c>
      <c r="AJ53" s="229">
        <f>'расчет цен и скидок'!AJ53</f>
        <v>0</v>
      </c>
      <c r="AK53" s="227">
        <f>'расчет цен и скидок'!AK53</f>
        <v>0</v>
      </c>
      <c r="AL53" s="228">
        <f>'расчет цен и скидок'!AL53</f>
        <v>0</v>
      </c>
      <c r="AM53" s="228">
        <f>'расчет цен и скидок'!AM53</f>
        <v>0</v>
      </c>
      <c r="AN53" s="228">
        <f>'расчет цен и скидок'!AN53</f>
        <v>0</v>
      </c>
      <c r="AO53" s="227">
        <f>'расчет цен и скидок'!AO53</f>
        <v>0</v>
      </c>
      <c r="AP53" s="228">
        <f>'расчет цен и скидок'!AP53</f>
        <v>0</v>
      </c>
      <c r="AQ53" s="228">
        <f>'расчет цен и скидок'!AQ53</f>
        <v>0</v>
      </c>
      <c r="AR53" s="228">
        <f>'расчет цен и скидок'!AR53</f>
        <v>0</v>
      </c>
      <c r="AS53" s="227">
        <f>'расчет цен и скидок'!AS53</f>
        <v>0</v>
      </c>
      <c r="AT53" s="228">
        <f>'расчет цен и скидок'!AT53</f>
        <v>0</v>
      </c>
      <c r="AU53" s="228">
        <f>'расчет цен и скидок'!AU53</f>
        <v>0</v>
      </c>
      <c r="AV53" s="228">
        <f>'расчет цен и скидок'!AV53</f>
        <v>0</v>
      </c>
      <c r="AW53" s="227">
        <f>'расчет цен и скидок'!AW53</f>
        <v>0</v>
      </c>
      <c r="AX53" s="228">
        <f>'расчет цен и скидок'!AX53</f>
        <v>0</v>
      </c>
      <c r="AY53" s="230">
        <f>'расчет цен и скидок'!AY53</f>
        <v>0</v>
      </c>
      <c r="AZ53" s="227">
        <f>'расчет цен и скидок'!AZ53</f>
        <v>0</v>
      </c>
      <c r="BA53" s="228">
        <f>'расчет цен и скидок'!BA53</f>
        <v>0</v>
      </c>
      <c r="BB53" s="230">
        <f>'расчет цен и скидок'!BB53</f>
        <v>0</v>
      </c>
      <c r="BC53" s="227">
        <f>'расчет цен и скидок'!BC53</f>
        <v>0</v>
      </c>
      <c r="BD53" s="230">
        <f>'расчет цен и скидок'!BD53</f>
        <v>0</v>
      </c>
      <c r="BE53" s="230">
        <f>'расчет цен и скидок'!BE53</f>
        <v>0</v>
      </c>
      <c r="BF53" s="218">
        <f>'расчет цен и скидок'!BF53</f>
        <v>0</v>
      </c>
      <c r="BG53" s="228">
        <f>'расчет цен и скидок'!BG53</f>
        <v>0</v>
      </c>
      <c r="BH53" s="230">
        <f>'расчет цен и скидок'!BH53</f>
        <v>0</v>
      </c>
      <c r="BI53" s="227">
        <f>'расчет цен и скидок'!BI53</f>
        <v>0</v>
      </c>
      <c r="BJ53" s="228">
        <f>'расчет цен и скидок'!BJ53</f>
        <v>0</v>
      </c>
      <c r="BK53" s="230">
        <f>'расчет цен и скидок'!BK53</f>
        <v>0</v>
      </c>
      <c r="BL53" s="230">
        <f>'расчет цен и скидок'!BL53</f>
        <v>0</v>
      </c>
      <c r="BM53" s="230">
        <f>'расчет цен и скидок'!BM53</f>
        <v>0</v>
      </c>
      <c r="BN53" s="230">
        <f>'расчет цен и скидок'!BN53</f>
        <v>0</v>
      </c>
      <c r="BO53" s="230">
        <f>'расчет цен и скидок'!BO53</f>
        <v>0</v>
      </c>
      <c r="BP53" s="230">
        <f>'расчет цен и скидок'!BP53</f>
        <v>0</v>
      </c>
      <c r="BQ53" s="230">
        <f>'расчет цен и скидок'!BQ53</f>
        <v>0</v>
      </c>
      <c r="BR53" s="230">
        <f>'расчет цен и скидок'!BR53</f>
        <v>0</v>
      </c>
      <c r="BS53" s="230">
        <f>'расчет цен и скидок'!BS53</f>
        <v>0</v>
      </c>
      <c r="BT53" s="230">
        <f>'расчет цен и скидок'!BT53</f>
        <v>0</v>
      </c>
      <c r="BU53" s="230">
        <f>'расчет цен и скидок'!BU53</f>
        <v>0</v>
      </c>
      <c r="BV53" s="230">
        <f>'расчет цен и скидок'!BV53</f>
        <v>0</v>
      </c>
      <c r="BW53" s="230">
        <f>'расчет цен и скидок'!BW53</f>
        <v>0</v>
      </c>
      <c r="BX53" s="230">
        <f>'расчет цен и скидок'!BX53</f>
        <v>0</v>
      </c>
      <c r="BY53" s="230">
        <f>'расчет цен и скидок'!BY53</f>
        <v>0</v>
      </c>
      <c r="BZ53" s="230">
        <f>'расчет цен и скидок'!BZ53</f>
        <v>0</v>
      </c>
      <c r="CA53" s="230">
        <f>'расчет цен и скидок'!CA53</f>
        <v>0</v>
      </c>
      <c r="CB53" s="230">
        <f>'расчет цен и скидок'!CB53</f>
        <v>0</v>
      </c>
      <c r="CC53" s="230">
        <f>'расчет цен и скидок'!CC53</f>
        <v>0</v>
      </c>
      <c r="CD53" s="230">
        <f>'расчет цен и скидок'!CD53</f>
        <v>0</v>
      </c>
      <c r="CE53" s="230">
        <f>'расчет цен и скидок'!CE53</f>
        <v>0</v>
      </c>
      <c r="CF53" s="230">
        <f>'расчет цен и скидок'!CF53</f>
        <v>0</v>
      </c>
      <c r="CG53" s="230">
        <f>'расчет цен и скидок'!CG53</f>
        <v>0</v>
      </c>
      <c r="CH53" s="230">
        <f>'расчет цен и скидок'!CH53</f>
        <v>0</v>
      </c>
      <c r="CI53" s="230">
        <f>'расчет цен и скидок'!CI53</f>
        <v>0</v>
      </c>
      <c r="CJ53" s="230">
        <f>'расчет цен и скидок'!CJ53</f>
        <v>0</v>
      </c>
      <c r="CK53" s="230">
        <f>'расчет цен и скидок'!CK53</f>
        <v>0</v>
      </c>
      <c r="CL53" s="230">
        <f>'расчет цен и скидок'!CL53</f>
        <v>0</v>
      </c>
      <c r="CM53" s="230">
        <f>'расчет цен и скидок'!CM53</f>
        <v>0</v>
      </c>
      <c r="CN53" s="230">
        <f>'расчет цен и скидок'!CN53</f>
        <v>0</v>
      </c>
    </row>
    <row r="54" spans="2:36" ht="15.75">
      <c r="B54" s="308"/>
      <c r="L54" s="231"/>
      <c r="M54" s="231"/>
      <c r="P54" s="232"/>
      <c r="Q54" s="233"/>
      <c r="R54" s="234"/>
      <c r="S54" s="223"/>
      <c r="T54" s="224"/>
      <c r="U54" s="250"/>
      <c r="V54" s="246"/>
      <c r="Z54" s="250"/>
      <c r="AJ54" s="229"/>
    </row>
    <row r="55" spans="1:92" ht="15.75">
      <c r="A55" s="279" t="str">
        <f>'расчет цен и скидок'!A55</f>
        <v>ШБ 44</v>
      </c>
      <c r="B55" s="308" t="str">
        <f>'расчет цен и скидок'!B55</f>
        <v>тонна</v>
      </c>
      <c r="C55" s="219">
        <f>'расчет цен и скидок'!C55</f>
        <v>0</v>
      </c>
      <c r="D55" s="219">
        <f>'расчет цен и скидок'!D55</f>
        <v>0</v>
      </c>
      <c r="E55" s="219">
        <f>'расчет цен и скидок'!E55</f>
        <v>0</v>
      </c>
      <c r="F55" s="219">
        <f>'расчет цен и скидок'!F55</f>
        <v>0</v>
      </c>
      <c r="G55" s="219">
        <f>'расчет цен и скидок'!G55</f>
        <v>0</v>
      </c>
      <c r="H55" s="219">
        <f>'расчет цен и скидок'!H55</f>
        <v>0</v>
      </c>
      <c r="I55" s="219">
        <f>'расчет цен и скидок'!I55</f>
        <v>0</v>
      </c>
      <c r="J55" s="219">
        <f>'расчет цен и скидок'!J55</f>
        <v>0</v>
      </c>
      <c r="K55" s="231">
        <f>'расчет цен и скидок'!K55</f>
        <v>5350</v>
      </c>
      <c r="L55" s="231">
        <f>'расчет цен и скидок'!L55</f>
        <v>6313</v>
      </c>
      <c r="M55" s="231">
        <f>'расчет цен и скидок'!M55</f>
        <v>0</v>
      </c>
      <c r="N55" s="221">
        <f>'расчет цен и скидок'!N55</f>
        <v>5724.5</v>
      </c>
      <c r="O55" s="221">
        <f>'расчет цен и скидок'!O55</f>
        <v>6754.91</v>
      </c>
      <c r="P55" s="232">
        <f>'расчет цен и скидок'!P55</f>
        <v>5750</v>
      </c>
      <c r="Q55" s="233">
        <f>'расчет цен и скидок'!Q55</f>
        <v>1035</v>
      </c>
      <c r="R55" s="234">
        <f>'расчет цен и скидок'!R55</f>
        <v>6785</v>
      </c>
      <c r="S55" s="223">
        <f>'расчет цен и скидок'!S55</f>
        <v>0.07</v>
      </c>
      <c r="T55" s="224">
        <f>'расчет цен и скидок'!T55</f>
        <v>0.06999999999999998</v>
      </c>
      <c r="U55" s="291">
        <f>'расчет цен и скидок'!U55</f>
        <v>0.05</v>
      </c>
      <c r="V55" s="298">
        <f>'расчет цен и скидок'!V55</f>
        <v>5463</v>
      </c>
      <c r="W55" s="292">
        <f>'расчет цен и скидок'!W55</f>
        <v>0</v>
      </c>
      <c r="X55" s="292">
        <f>'расчет цен и скидок'!X55</f>
        <v>0</v>
      </c>
      <c r="Y55" s="290">
        <f>'расчет цен и скидок'!Y55</f>
        <v>0</v>
      </c>
      <c r="Z55" s="291">
        <f>'расчет цен и скидок'!Z55</f>
        <v>0.08</v>
      </c>
      <c r="AA55" s="292">
        <f>'расчет цен и скидок'!AA55</f>
        <v>0</v>
      </c>
      <c r="AB55" s="292">
        <f>'расчет цен и скидок'!AB55</f>
        <v>0</v>
      </c>
      <c r="AC55" s="227">
        <f>'расчет цен и скидок'!AC55</f>
        <v>0</v>
      </c>
      <c r="AD55" s="228">
        <f>'расчет цен и скидок'!AD55</f>
        <v>3310</v>
      </c>
      <c r="AE55" s="228">
        <f>'расчет цен и скидок'!AE55</f>
        <v>0</v>
      </c>
      <c r="AF55" s="228">
        <f>'расчет цен и скидок'!AF55</f>
        <v>0</v>
      </c>
      <c r="AG55" s="228">
        <f>'расчет цен и скидок'!AG55</f>
        <v>0</v>
      </c>
      <c r="AH55" s="228">
        <f>'расчет цен и скидок'!AH55</f>
        <v>3710</v>
      </c>
      <c r="AI55" s="228">
        <f>'расчет цен и скидок'!AI55</f>
        <v>0</v>
      </c>
      <c r="AJ55" s="229">
        <f>'расчет цен и скидок'!AJ55</f>
        <v>0.12084592145015106</v>
      </c>
      <c r="AK55" s="227">
        <f>'расчет цен и скидок'!AK55</f>
        <v>0</v>
      </c>
      <c r="AL55" s="239">
        <f>'расчет цен и скидок'!AL55</f>
        <v>3280</v>
      </c>
      <c r="AM55" s="239">
        <f>'расчет цен и скидок'!AM55</f>
        <v>3610</v>
      </c>
      <c r="AN55" s="242">
        <f>'расчет цен и скидок'!AN55</f>
        <v>0.10060975609756098</v>
      </c>
      <c r="AO55" s="227">
        <f>'расчет цен и скидок'!AO55</f>
        <v>0</v>
      </c>
      <c r="AP55" s="239">
        <f>'расчет цен и скидок'!AP55</f>
        <v>3560</v>
      </c>
      <c r="AQ55" s="239">
        <f>'расчет цен и скидок'!AQ55</f>
        <v>0</v>
      </c>
      <c r="AR55" s="242">
        <f>'расчет цен и скидок'!AR55</f>
        <v>-1</v>
      </c>
      <c r="AS55" s="227">
        <f>'расчет цен и скидок'!AS55</f>
        <v>0</v>
      </c>
      <c r="AT55" s="239">
        <f>'расчет цен и скидок'!AT55</f>
        <v>6016.949152542373</v>
      </c>
      <c r="AU55" s="239">
        <f>'расчет цен и скидок'!AU55</f>
        <v>0</v>
      </c>
      <c r="AV55" s="242">
        <f>'расчет цен и скидок'!AV55</f>
        <v>-1</v>
      </c>
      <c r="AW55" s="227">
        <f>'расчет цен и скидок'!AW55</f>
        <v>0</v>
      </c>
      <c r="AX55" s="239">
        <f>'расчет цен и скидок'!AX55</f>
        <v>0</v>
      </c>
      <c r="AY55" s="230">
        <f>'расчет цен и скидок'!AY55</f>
        <v>0</v>
      </c>
      <c r="AZ55" s="227">
        <f>'расчет цен и скидок'!AZ55</f>
        <v>0</v>
      </c>
      <c r="BA55" s="239">
        <f>'расчет цен и скидок'!BA55</f>
        <v>0</v>
      </c>
      <c r="BB55" s="230">
        <f>'расчет цен и скидок'!BB55</f>
        <v>0</v>
      </c>
      <c r="BC55" s="227">
        <f>'расчет цен и скидок'!BC55</f>
        <v>0</v>
      </c>
      <c r="BD55" s="217">
        <f>'расчет цен и скидок'!BD55</f>
        <v>0</v>
      </c>
      <c r="BE55" s="217">
        <f>'расчет цен и скидок'!BE55</f>
        <v>0</v>
      </c>
      <c r="BF55" s="218">
        <f>'расчет цен и скидок'!BF55</f>
        <v>0</v>
      </c>
      <c r="BG55" s="228">
        <f>'расчет цен и скидок'!BG55</f>
        <v>0</v>
      </c>
      <c r="BH55" s="230">
        <f>'расчет цен и скидок'!BH55</f>
        <v>0</v>
      </c>
      <c r="BI55" s="227">
        <f>'расчет цен и скидок'!BI55</f>
        <v>0</v>
      </c>
      <c r="BJ55" s="239">
        <f>'расчет цен и скидок'!BJ55</f>
        <v>0</v>
      </c>
      <c r="BK55" s="230">
        <f>'расчет цен и скидок'!BK55</f>
        <v>0</v>
      </c>
      <c r="BL55" s="230">
        <f>'расчет цен и скидок'!BL55</f>
        <v>0</v>
      </c>
      <c r="BM55" s="230">
        <f>'расчет цен и скидок'!BM55</f>
        <v>0</v>
      </c>
      <c r="BN55" s="230">
        <f>'расчет цен и скидок'!BN55</f>
        <v>0</v>
      </c>
      <c r="BO55" s="230">
        <f>'расчет цен и скидок'!BO55</f>
        <v>0</v>
      </c>
      <c r="BP55" s="230">
        <f>'расчет цен и скидок'!BP55</f>
        <v>0</v>
      </c>
      <c r="BQ55" s="230">
        <f>'расчет цен и скидок'!BQ55</f>
        <v>0</v>
      </c>
      <c r="BR55" s="230">
        <f>'расчет цен и скидок'!BR55</f>
        <v>0</v>
      </c>
      <c r="BS55" s="230">
        <f>'расчет цен и скидок'!BS55</f>
        <v>0</v>
      </c>
      <c r="BT55" s="230">
        <f>'расчет цен и скидок'!BT55</f>
        <v>0</v>
      </c>
      <c r="BU55" s="230">
        <f>'расчет цен и скидок'!BU55</f>
        <v>0</v>
      </c>
      <c r="BV55" s="230">
        <f>'расчет цен и скидок'!BV55</f>
        <v>0</v>
      </c>
      <c r="BW55" s="230">
        <f>'расчет цен и скидок'!BW55</f>
        <v>0</v>
      </c>
      <c r="BX55" s="230">
        <f>'расчет цен и скидок'!BX55</f>
        <v>0</v>
      </c>
      <c r="BY55" s="230">
        <f>'расчет цен и скидок'!BY55</f>
        <v>0</v>
      </c>
      <c r="BZ55" s="230">
        <f>'расчет цен и скидок'!BZ55</f>
        <v>0</v>
      </c>
      <c r="CA55" s="230">
        <f>'расчет цен и скидок'!CA55</f>
        <v>0</v>
      </c>
      <c r="CB55" s="230">
        <f>'расчет цен и скидок'!CB55</f>
        <v>0</v>
      </c>
      <c r="CC55" s="230">
        <f>'расчет цен и скидок'!CC55</f>
        <v>0</v>
      </c>
      <c r="CD55" s="230">
        <f>'расчет цен и скидок'!CD55</f>
        <v>0</v>
      </c>
      <c r="CE55" s="230">
        <f>'расчет цен и скидок'!CE55</f>
        <v>0</v>
      </c>
      <c r="CF55" s="230">
        <f>'расчет цен и скидок'!CF55</f>
        <v>0</v>
      </c>
      <c r="CG55" s="230">
        <f>'расчет цен и скидок'!CG55</f>
        <v>0</v>
      </c>
      <c r="CH55" s="230">
        <f>'расчет цен и скидок'!CH55</f>
        <v>0</v>
      </c>
      <c r="CI55" s="230">
        <f>'расчет цен и скидок'!CI55</f>
        <v>0</v>
      </c>
      <c r="CJ55" s="230">
        <f>'расчет цен и скидок'!CJ55</f>
        <v>0</v>
      </c>
      <c r="CK55" s="230">
        <f>'расчет цен и скидок'!CK55</f>
        <v>0</v>
      </c>
      <c r="CL55" s="230">
        <f>'расчет цен и скидок'!CL55</f>
        <v>0</v>
      </c>
      <c r="CM55" s="230">
        <f>'расчет цен и скидок'!CM55</f>
        <v>0</v>
      </c>
      <c r="CN55" s="230">
        <f>'расчет цен и скидок'!CN55</f>
        <v>0</v>
      </c>
    </row>
    <row r="56" spans="1:92" ht="15.75">
      <c r="A56" s="279" t="str">
        <f>'расчет цен и скидок'!A56</f>
        <v>ШБ 44</v>
      </c>
      <c r="B56" s="308" t="str">
        <f>'расчет цен и скидок'!B56</f>
        <v>1 кирпич</v>
      </c>
      <c r="C56" s="219">
        <f>'расчет цен и скидок'!C56</f>
        <v>0</v>
      </c>
      <c r="D56" s="219">
        <f>'расчет цен и скидок'!D56</f>
        <v>0</v>
      </c>
      <c r="E56" s="219">
        <f>'расчет цен и скидок'!E56</f>
        <v>0</v>
      </c>
      <c r="F56" s="219">
        <f>'расчет цен и скидок'!F56</f>
        <v>0</v>
      </c>
      <c r="G56" s="219">
        <f>'расчет цен и скидок'!G56</f>
        <v>0</v>
      </c>
      <c r="H56" s="219">
        <f>'расчет цен и скидок'!H56</f>
        <v>0</v>
      </c>
      <c r="I56" s="219">
        <f>'расчет цен и скидок'!I56</f>
        <v>0</v>
      </c>
      <c r="J56" s="219">
        <f>'расчет цен и скидок'!J56</f>
        <v>0</v>
      </c>
      <c r="K56" s="231">
        <f>'расчет цен и скидок'!K56</f>
        <v>17.45119047619048</v>
      </c>
      <c r="L56" s="231">
        <f>'расчет цен и скидок'!L56</f>
        <v>20.59</v>
      </c>
      <c r="M56" s="231">
        <f>'расчет цен и скидок'!M56</f>
        <v>0</v>
      </c>
      <c r="N56" s="231">
        <f>'расчет цен и скидок'!N56</f>
        <v>18.672773809523814</v>
      </c>
      <c r="O56" s="221">
        <f>'расчет цен и скидок'!O56</f>
        <v>22.0338730952381</v>
      </c>
      <c r="P56" s="232">
        <f>'расчет цен и скидок'!P56</f>
        <v>0</v>
      </c>
      <c r="Q56" s="233">
        <f>'расчет цен и скидок'!Q56</f>
        <v>0</v>
      </c>
      <c r="R56" s="234">
        <f>'расчет цен и скидок'!R56</f>
        <v>0</v>
      </c>
      <c r="S56" s="223">
        <f>'расчет цен и скидок'!S56</f>
        <v>0.07</v>
      </c>
      <c r="T56" s="224">
        <f>'расчет цен и скидок'!T56</f>
        <v>0.07012496820000486</v>
      </c>
      <c r="U56" s="291">
        <f>'расчет цен и скидок'!U56</f>
        <v>0.05</v>
      </c>
      <c r="V56" s="298">
        <f>'расчет цен и скидок'!V56</f>
        <v>0</v>
      </c>
      <c r="W56" s="292">
        <f>'расчет цен и скидок'!W56</f>
        <v>0</v>
      </c>
      <c r="X56" s="292">
        <f>'расчет цен и скидок'!X56</f>
        <v>0</v>
      </c>
      <c r="Y56" s="290">
        <f>'расчет цен и скидок'!Y56</f>
        <v>0</v>
      </c>
      <c r="Z56" s="291">
        <f>'расчет цен и скидок'!Z56</f>
        <v>0.08</v>
      </c>
      <c r="AA56" s="292">
        <f>'расчет цен и скидок'!AA56</f>
        <v>0</v>
      </c>
      <c r="AB56" s="292">
        <f>'расчет цен и скидок'!AB56</f>
        <v>0</v>
      </c>
      <c r="AC56" s="227">
        <f>'расчет цен и скидок'!AC56</f>
        <v>0</v>
      </c>
      <c r="AD56" s="228">
        <f>'расчет цен и скидок'!AD56</f>
        <v>0</v>
      </c>
      <c r="AE56" s="228">
        <f>'расчет цен и скидок'!AE56</f>
        <v>0</v>
      </c>
      <c r="AF56" s="228">
        <f>'расчет цен и скидок'!AF56</f>
        <v>0</v>
      </c>
      <c r="AG56" s="228">
        <f>'расчет цен и скидок'!AG56</f>
        <v>0</v>
      </c>
      <c r="AH56" s="228">
        <f>'расчет цен и скидок'!AH56</f>
        <v>0</v>
      </c>
      <c r="AI56" s="228">
        <f>'расчет цен и скидок'!AI56</f>
        <v>0</v>
      </c>
      <c r="AJ56" s="229" t="e">
        <f>'расчет цен и скидок'!AJ56</f>
        <v>#DIV/0!</v>
      </c>
      <c r="AK56" s="227">
        <f>'расчет цен и скидок'!AK56</f>
        <v>0</v>
      </c>
      <c r="AL56" s="228">
        <f>'расчет цен и скидок'!AL56</f>
        <v>0</v>
      </c>
      <c r="AM56" s="228">
        <f>'расчет цен и скидок'!AM56</f>
        <v>0</v>
      </c>
      <c r="AN56" s="228">
        <f>'расчет цен и скидок'!AN56</f>
        <v>0</v>
      </c>
      <c r="AO56" s="227">
        <f>'расчет цен и скидок'!AO56</f>
        <v>0</v>
      </c>
      <c r="AP56" s="228">
        <f>'расчет цен и скидок'!AP56</f>
        <v>0</v>
      </c>
      <c r="AQ56" s="228">
        <f>'расчет цен и скидок'!AQ56</f>
        <v>0</v>
      </c>
      <c r="AR56" s="228">
        <f>'расчет цен и скидок'!AR56</f>
        <v>0</v>
      </c>
      <c r="AS56" s="227">
        <f>'расчет цен и скидок'!AS56</f>
        <v>0</v>
      </c>
      <c r="AT56" s="228">
        <f>'расчет цен и скидок'!AT56</f>
        <v>0</v>
      </c>
      <c r="AU56" s="228">
        <f>'расчет цен и скидок'!AU56</f>
        <v>0</v>
      </c>
      <c r="AV56" s="228">
        <f>'расчет цен и скидок'!AV56</f>
        <v>0</v>
      </c>
      <c r="AW56" s="227">
        <f>'расчет цен и скидок'!AW56</f>
        <v>0</v>
      </c>
      <c r="AX56" s="228">
        <f>'расчет цен и скидок'!AX56</f>
        <v>0</v>
      </c>
      <c r="AY56" s="230">
        <f>'расчет цен и скидок'!AY56</f>
        <v>0</v>
      </c>
      <c r="AZ56" s="227">
        <f>'расчет цен и скидок'!AZ56</f>
        <v>0</v>
      </c>
      <c r="BA56" s="228">
        <f>'расчет цен и скидок'!BA56</f>
        <v>0</v>
      </c>
      <c r="BB56" s="230">
        <f>'расчет цен и скидок'!BB56</f>
        <v>0</v>
      </c>
      <c r="BC56" s="227">
        <f>'расчет цен и скидок'!BC56</f>
        <v>0</v>
      </c>
      <c r="BD56" s="230">
        <f>'расчет цен и скидок'!BD56</f>
        <v>0</v>
      </c>
      <c r="BE56" s="230">
        <f>'расчет цен и скидок'!BE56</f>
        <v>0</v>
      </c>
      <c r="BF56" s="218">
        <f>'расчет цен и скидок'!BF56</f>
        <v>0</v>
      </c>
      <c r="BG56" s="228">
        <f>'расчет цен и скидок'!BG56</f>
        <v>0</v>
      </c>
      <c r="BH56" s="230">
        <f>'расчет цен и скидок'!BH56</f>
        <v>0</v>
      </c>
      <c r="BI56" s="227">
        <f>'расчет цен и скидок'!BI56</f>
        <v>0</v>
      </c>
      <c r="BJ56" s="228">
        <f>'расчет цен и скидок'!BJ56</f>
        <v>0</v>
      </c>
      <c r="BK56" s="230">
        <f>'расчет цен и скидок'!BK56</f>
        <v>0</v>
      </c>
      <c r="BL56" s="230">
        <f>'расчет цен и скидок'!BL56</f>
        <v>0</v>
      </c>
      <c r="BM56" s="230">
        <f>'расчет цен и скидок'!BM56</f>
        <v>0</v>
      </c>
      <c r="BN56" s="230">
        <f>'расчет цен и скидок'!BN56</f>
        <v>0</v>
      </c>
      <c r="BO56" s="230">
        <f>'расчет цен и скидок'!BO56</f>
        <v>0</v>
      </c>
      <c r="BP56" s="230">
        <f>'расчет цен и скидок'!BP56</f>
        <v>0</v>
      </c>
      <c r="BQ56" s="230">
        <f>'расчет цен и скидок'!BQ56</f>
        <v>0</v>
      </c>
      <c r="BR56" s="230">
        <f>'расчет цен и скидок'!BR56</f>
        <v>0</v>
      </c>
      <c r="BS56" s="230">
        <f>'расчет цен и скидок'!BS56</f>
        <v>0</v>
      </c>
      <c r="BT56" s="230">
        <f>'расчет цен и скидок'!BT56</f>
        <v>0</v>
      </c>
      <c r="BU56" s="230">
        <f>'расчет цен и скидок'!BU56</f>
        <v>0</v>
      </c>
      <c r="BV56" s="230">
        <f>'расчет цен и скидок'!BV56</f>
        <v>0</v>
      </c>
      <c r="BW56" s="230">
        <f>'расчет цен и скидок'!BW56</f>
        <v>0</v>
      </c>
      <c r="BX56" s="230">
        <f>'расчет цен и скидок'!BX56</f>
        <v>0</v>
      </c>
      <c r="BY56" s="230">
        <f>'расчет цен и скидок'!BY56</f>
        <v>0</v>
      </c>
      <c r="BZ56" s="230">
        <f>'расчет цен и скидок'!BZ56</f>
        <v>0</v>
      </c>
      <c r="CA56" s="230">
        <f>'расчет цен и скидок'!CA56</f>
        <v>0</v>
      </c>
      <c r="CB56" s="230">
        <f>'расчет цен и скидок'!CB56</f>
        <v>0</v>
      </c>
      <c r="CC56" s="230">
        <f>'расчет цен и скидок'!CC56</f>
        <v>0</v>
      </c>
      <c r="CD56" s="230">
        <f>'расчет цен и скидок'!CD56</f>
        <v>0</v>
      </c>
      <c r="CE56" s="230">
        <f>'расчет цен и скидок'!CE56</f>
        <v>0</v>
      </c>
      <c r="CF56" s="230">
        <f>'расчет цен и скидок'!CF56</f>
        <v>0</v>
      </c>
      <c r="CG56" s="230">
        <f>'расчет цен и скидок'!CG56</f>
        <v>0</v>
      </c>
      <c r="CH56" s="230">
        <f>'расчет цен и скидок'!CH56</f>
        <v>0</v>
      </c>
      <c r="CI56" s="230">
        <f>'расчет цен и скидок'!CI56</f>
        <v>0</v>
      </c>
      <c r="CJ56" s="230">
        <f>'расчет цен и скидок'!CJ56</f>
        <v>0</v>
      </c>
      <c r="CK56" s="230">
        <f>'расчет цен и скидок'!CK56</f>
        <v>0</v>
      </c>
      <c r="CL56" s="230">
        <f>'расчет цен и скидок'!CL56</f>
        <v>0</v>
      </c>
      <c r="CM56" s="230">
        <f>'расчет цен и скидок'!CM56</f>
        <v>0</v>
      </c>
      <c r="CN56" s="230">
        <f>'расчет цен и скидок'!CN56</f>
        <v>0</v>
      </c>
    </row>
    <row r="57" spans="1:92" ht="15.75">
      <c r="A57" s="279" t="str">
        <f>'расчет цен и скидок'!A57</f>
        <v>ШБ 44</v>
      </c>
      <c r="B57" s="308" t="str">
        <f>'расчет цен и скидок'!B57</f>
        <v>1 поддон (420 кирпичей, около 1,370 тонн)</v>
      </c>
      <c r="C57" s="219">
        <f>'расчет цен и скидок'!C57</f>
        <v>0</v>
      </c>
      <c r="D57" s="219">
        <f>'расчет цен и скидок'!D57</f>
        <v>0</v>
      </c>
      <c r="E57" s="219">
        <f>'расчет цен и скидок'!E57</f>
        <v>0</v>
      </c>
      <c r="F57" s="219">
        <f>'расчет цен и скидок'!F57</f>
        <v>0</v>
      </c>
      <c r="G57" s="219">
        <f>'расчет цен и скидок'!G57</f>
        <v>0</v>
      </c>
      <c r="H57" s="219">
        <f>'расчет цен и скидок'!H57</f>
        <v>0</v>
      </c>
      <c r="I57" s="219">
        <f>'расчет цен и скидок'!I57</f>
        <v>0</v>
      </c>
      <c r="J57" s="219">
        <f>'расчет цен и скидок'!J57</f>
        <v>0</v>
      </c>
      <c r="K57" s="231">
        <f>'расчет цен и скидок'!K57</f>
        <v>7329.500000000001</v>
      </c>
      <c r="L57" s="231">
        <f>'расчет цен и скидок'!L57</f>
        <v>8648.81</v>
      </c>
      <c r="M57" s="231">
        <f>'расчет цен и скидок'!M57</f>
        <v>0</v>
      </c>
      <c r="N57" s="231">
        <f>'расчет цен и скидок'!N57</f>
        <v>7842.565000000001</v>
      </c>
      <c r="O57" s="221">
        <f>'расчет цен и скидок'!O57</f>
        <v>9254.226700000001</v>
      </c>
      <c r="P57" s="232">
        <f>'расчет цен и скидок'!P57</f>
        <v>0</v>
      </c>
      <c r="Q57" s="233">
        <f>'расчет цен и скидок'!Q57</f>
        <v>0</v>
      </c>
      <c r="R57" s="234">
        <f>'расчет цен и скидок'!R57</f>
        <v>0</v>
      </c>
      <c r="S57" s="223">
        <f>'расчет цен и скидок'!S57</f>
        <v>0.07</v>
      </c>
      <c r="T57" s="224">
        <f>'расчет цен и скидок'!T57</f>
        <v>0.07000000000000019</v>
      </c>
      <c r="U57" s="291">
        <f>'расчет цен и скидок'!U57</f>
        <v>0.05</v>
      </c>
      <c r="V57" s="292">
        <f>'расчет цен и скидок'!V57</f>
        <v>0</v>
      </c>
      <c r="W57" s="292">
        <f>'расчет цен и скидок'!W57</f>
        <v>0</v>
      </c>
      <c r="X57" s="292">
        <f>'расчет цен и скидок'!X57</f>
        <v>0</v>
      </c>
      <c r="Y57" s="290">
        <f>'расчет цен и скидок'!Y57</f>
        <v>0</v>
      </c>
      <c r="Z57" s="291">
        <f>'расчет цен и скидок'!Z57</f>
        <v>0.08</v>
      </c>
      <c r="AA57" s="292">
        <f>'расчет цен и скидок'!AA57</f>
        <v>0</v>
      </c>
      <c r="AB57" s="292">
        <f>'расчет цен и скидок'!AB57</f>
        <v>0</v>
      </c>
      <c r="AC57" s="227">
        <f>'расчет цен и скидок'!AC57</f>
        <v>0</v>
      </c>
      <c r="AD57" s="228">
        <f>'расчет цен и скидок'!AD57</f>
        <v>0</v>
      </c>
      <c r="AE57" s="228">
        <f>'расчет цен и скидок'!AE57</f>
        <v>0</v>
      </c>
      <c r="AF57" s="228">
        <f>'расчет цен и скидок'!AF57</f>
        <v>0</v>
      </c>
      <c r="AG57" s="228">
        <f>'расчет цен и скидок'!AG57</f>
        <v>0</v>
      </c>
      <c r="AH57" s="228">
        <f>'расчет цен и скидок'!AH57</f>
        <v>0</v>
      </c>
      <c r="AI57" s="228">
        <f>'расчет цен и скидок'!AI57</f>
        <v>0</v>
      </c>
      <c r="AJ57" s="229" t="e">
        <f>'расчет цен и скидок'!AJ57</f>
        <v>#DIV/0!</v>
      </c>
      <c r="AK57" s="227">
        <f>'расчет цен и скидок'!AK57</f>
        <v>0</v>
      </c>
      <c r="AL57" s="228">
        <f>'расчет цен и скидок'!AL57</f>
        <v>0</v>
      </c>
      <c r="AM57" s="228">
        <f>'расчет цен и скидок'!AM57</f>
        <v>0</v>
      </c>
      <c r="AN57" s="228">
        <f>'расчет цен и скидок'!AN57</f>
        <v>0</v>
      </c>
      <c r="AO57" s="227">
        <f>'расчет цен и скидок'!AO57</f>
        <v>0</v>
      </c>
      <c r="AP57" s="228">
        <f>'расчет цен и скидок'!AP57</f>
        <v>0</v>
      </c>
      <c r="AQ57" s="228">
        <f>'расчет цен и скидок'!AQ57</f>
        <v>0</v>
      </c>
      <c r="AR57" s="228">
        <f>'расчет цен и скидок'!AR57</f>
        <v>0</v>
      </c>
      <c r="AS57" s="227">
        <f>'расчет цен и скидок'!AS57</f>
        <v>0</v>
      </c>
      <c r="AT57" s="228">
        <f>'расчет цен и скидок'!AT57</f>
        <v>0</v>
      </c>
      <c r="AU57" s="228">
        <f>'расчет цен и скидок'!AU57</f>
        <v>0</v>
      </c>
      <c r="AV57" s="228">
        <f>'расчет цен и скидок'!AV57</f>
        <v>0</v>
      </c>
      <c r="AW57" s="227">
        <f>'расчет цен и скидок'!AW57</f>
        <v>0</v>
      </c>
      <c r="AX57" s="228">
        <f>'расчет цен и скидок'!AX57</f>
        <v>0</v>
      </c>
      <c r="AY57" s="230">
        <f>'расчет цен и скидок'!AY57</f>
        <v>0</v>
      </c>
      <c r="AZ57" s="227">
        <f>'расчет цен и скидок'!AZ57</f>
        <v>0</v>
      </c>
      <c r="BA57" s="228">
        <f>'расчет цен и скидок'!BA57</f>
        <v>0</v>
      </c>
      <c r="BB57" s="230">
        <f>'расчет цен и скидок'!BB57</f>
        <v>0</v>
      </c>
      <c r="BC57" s="227">
        <f>'расчет цен и скидок'!BC57</f>
        <v>0</v>
      </c>
      <c r="BD57" s="230">
        <f>'расчет цен и скидок'!BD57</f>
        <v>0</v>
      </c>
      <c r="BE57" s="230">
        <f>'расчет цен и скидок'!BE57</f>
        <v>0</v>
      </c>
      <c r="BF57" s="218">
        <f>'расчет цен и скидок'!BF57</f>
        <v>0</v>
      </c>
      <c r="BG57" s="228">
        <f>'расчет цен и скидок'!BG57</f>
        <v>0</v>
      </c>
      <c r="BH57" s="230">
        <f>'расчет цен и скидок'!BH57</f>
        <v>0</v>
      </c>
      <c r="BI57" s="227">
        <f>'расчет цен и скидок'!BI57</f>
        <v>0</v>
      </c>
      <c r="BJ57" s="228">
        <f>'расчет цен и скидок'!BJ57</f>
        <v>0</v>
      </c>
      <c r="BK57" s="230">
        <f>'расчет цен и скидок'!BK57</f>
        <v>0</v>
      </c>
      <c r="BL57" s="230">
        <f>'расчет цен и скидок'!BL57</f>
        <v>0</v>
      </c>
      <c r="BM57" s="230">
        <f>'расчет цен и скидок'!BM57</f>
        <v>0</v>
      </c>
      <c r="BN57" s="230">
        <f>'расчет цен и скидок'!BN57</f>
        <v>0</v>
      </c>
      <c r="BO57" s="230">
        <f>'расчет цен и скидок'!BO57</f>
        <v>0</v>
      </c>
      <c r="BP57" s="230">
        <f>'расчет цен и скидок'!BP57</f>
        <v>0</v>
      </c>
      <c r="BQ57" s="230">
        <f>'расчет цен и скидок'!BQ57</f>
        <v>0</v>
      </c>
      <c r="BR57" s="230">
        <f>'расчет цен и скидок'!BR57</f>
        <v>0</v>
      </c>
      <c r="BS57" s="230">
        <f>'расчет цен и скидок'!BS57</f>
        <v>0</v>
      </c>
      <c r="BT57" s="230">
        <f>'расчет цен и скидок'!BT57</f>
        <v>0</v>
      </c>
      <c r="BU57" s="230">
        <f>'расчет цен и скидок'!BU57</f>
        <v>0</v>
      </c>
      <c r="BV57" s="230">
        <f>'расчет цен и скидок'!BV57</f>
        <v>0</v>
      </c>
      <c r="BW57" s="230">
        <f>'расчет цен и скидок'!BW57</f>
        <v>0</v>
      </c>
      <c r="BX57" s="230">
        <f>'расчет цен и скидок'!BX57</f>
        <v>0</v>
      </c>
      <c r="BY57" s="230">
        <f>'расчет цен и скидок'!BY57</f>
        <v>0</v>
      </c>
      <c r="BZ57" s="230">
        <f>'расчет цен и скидок'!BZ57</f>
        <v>0</v>
      </c>
      <c r="CA57" s="230">
        <f>'расчет цен и скидок'!CA57</f>
        <v>0</v>
      </c>
      <c r="CB57" s="230">
        <f>'расчет цен и скидок'!CB57</f>
        <v>0</v>
      </c>
      <c r="CC57" s="230">
        <f>'расчет цен и скидок'!CC57</f>
        <v>0</v>
      </c>
      <c r="CD57" s="230">
        <f>'расчет цен и скидок'!CD57</f>
        <v>0</v>
      </c>
      <c r="CE57" s="230">
        <f>'расчет цен и скидок'!CE57</f>
        <v>0</v>
      </c>
      <c r="CF57" s="230">
        <f>'расчет цен и скидок'!CF57</f>
        <v>0</v>
      </c>
      <c r="CG57" s="230">
        <f>'расчет цен и скидок'!CG57</f>
        <v>0</v>
      </c>
      <c r="CH57" s="230">
        <f>'расчет цен и скидок'!CH57</f>
        <v>0</v>
      </c>
      <c r="CI57" s="230">
        <f>'расчет цен и скидок'!CI57</f>
        <v>0</v>
      </c>
      <c r="CJ57" s="230">
        <f>'расчет цен и скидок'!CJ57</f>
        <v>0</v>
      </c>
      <c r="CK57" s="230">
        <f>'расчет цен и скидок'!CK57</f>
        <v>0</v>
      </c>
      <c r="CL57" s="230">
        <f>'расчет цен и скидок'!CL57</f>
        <v>0</v>
      </c>
      <c r="CM57" s="230">
        <f>'расчет цен и скидок'!CM57</f>
        <v>0</v>
      </c>
      <c r="CN57" s="230">
        <f>'расчет цен и скидок'!CN57</f>
        <v>0</v>
      </c>
    </row>
    <row r="58" spans="1:62" s="268" customFormat="1" ht="15.75">
      <c r="A58" s="281"/>
      <c r="B58" s="310"/>
      <c r="C58" s="249"/>
      <c r="D58" s="249"/>
      <c r="E58" s="249"/>
      <c r="F58" s="249"/>
      <c r="G58" s="249"/>
      <c r="H58" s="249"/>
      <c r="I58" s="249"/>
      <c r="J58" s="249"/>
      <c r="K58" s="269"/>
      <c r="L58" s="270"/>
      <c r="M58" s="270"/>
      <c r="N58" s="269"/>
      <c r="O58" s="269"/>
      <c r="P58" s="286"/>
      <c r="Q58" s="287"/>
      <c r="R58" s="287"/>
      <c r="S58" s="271"/>
      <c r="T58" s="272"/>
      <c r="U58" s="273"/>
      <c r="V58" s="269"/>
      <c r="W58" s="269"/>
      <c r="X58" s="269"/>
      <c r="Y58" s="274"/>
      <c r="Z58" s="273"/>
      <c r="AA58" s="269"/>
      <c r="AB58" s="269"/>
      <c r="AC58" s="275"/>
      <c r="AD58" s="276"/>
      <c r="AE58" s="276"/>
      <c r="AF58" s="276"/>
      <c r="AG58" s="276"/>
      <c r="AH58" s="276"/>
      <c r="AI58" s="276"/>
      <c r="AJ58" s="277"/>
      <c r="AK58" s="275"/>
      <c r="AL58" s="276"/>
      <c r="AM58" s="276"/>
      <c r="AN58" s="276"/>
      <c r="AO58" s="275"/>
      <c r="AP58" s="276"/>
      <c r="AQ58" s="276"/>
      <c r="AR58" s="276"/>
      <c r="AS58" s="275"/>
      <c r="AT58" s="276"/>
      <c r="AU58" s="276"/>
      <c r="AV58" s="276"/>
      <c r="AW58" s="275"/>
      <c r="AX58" s="276"/>
      <c r="AZ58" s="275"/>
      <c r="BA58" s="276"/>
      <c r="BC58" s="275"/>
      <c r="BF58" s="278"/>
      <c r="BG58" s="276"/>
      <c r="BI58" s="275"/>
      <c r="BJ58" s="276"/>
    </row>
    <row r="59" spans="1:92" ht="15.75">
      <c r="A59" s="279" t="str">
        <f>'расчет цен и скидок'!A59</f>
        <v>ШБ 45</v>
      </c>
      <c r="B59" s="308" t="str">
        <f>'расчет цен и скидок'!B59</f>
        <v>тонна</v>
      </c>
      <c r="C59" s="219">
        <f>'расчет цен и скидок'!C59</f>
        <v>0</v>
      </c>
      <c r="D59" s="219">
        <f>'расчет цен и скидок'!D59</f>
        <v>0</v>
      </c>
      <c r="E59" s="219">
        <f>'расчет цен и скидок'!E59</f>
        <v>0</v>
      </c>
      <c r="F59" s="219">
        <f>'расчет цен и скидок'!F59</f>
        <v>0</v>
      </c>
      <c r="G59" s="219">
        <f>'расчет цен и скидок'!G59</f>
        <v>0</v>
      </c>
      <c r="H59" s="219">
        <f>'расчет цен и скидок'!H59</f>
        <v>0</v>
      </c>
      <c r="I59" s="219">
        <f>'расчет цен и скидок'!I59</f>
        <v>0</v>
      </c>
      <c r="J59" s="219">
        <f>'расчет цен и скидок'!J59</f>
        <v>0</v>
      </c>
      <c r="K59" s="231">
        <f>'расчет цен и скидок'!K59</f>
        <v>5350</v>
      </c>
      <c r="L59" s="231">
        <f>'расчет цен и скидок'!L59</f>
        <v>6313</v>
      </c>
      <c r="M59" s="231">
        <f>'расчет цен и скидок'!M59</f>
        <v>0</v>
      </c>
      <c r="N59" s="231">
        <f>'расчет цен и скидок'!N59</f>
        <v>5724.5</v>
      </c>
      <c r="O59" s="221">
        <f>'расчет цен и скидок'!O59</f>
        <v>6754.91</v>
      </c>
      <c r="P59" s="232">
        <f>'расчет цен и скидок'!P59</f>
        <v>5750</v>
      </c>
      <c r="Q59" s="233">
        <f>'расчет цен и скидок'!Q59</f>
        <v>1035</v>
      </c>
      <c r="R59" s="234">
        <f>'расчет цен и скидок'!R59</f>
        <v>6785</v>
      </c>
      <c r="S59" s="223">
        <f>'расчет цен и скидок'!S59</f>
        <v>0.07</v>
      </c>
      <c r="T59" s="224">
        <f>'расчет цен и скидок'!T59</f>
        <v>0.06999999999999998</v>
      </c>
      <c r="U59" s="291">
        <f>'расчет цен и скидок'!U59</f>
        <v>0.05</v>
      </c>
      <c r="V59" s="292">
        <f>'расчет цен и скидок'!V59</f>
        <v>5463</v>
      </c>
      <c r="W59" s="292">
        <f>'расчет цен и скидок'!W59</f>
        <v>0</v>
      </c>
      <c r="X59" s="292">
        <f>'расчет цен и скидок'!X59</f>
        <v>0</v>
      </c>
      <c r="Y59" s="290">
        <f>'расчет цен и скидок'!Y59</f>
        <v>0</v>
      </c>
      <c r="Z59" s="291">
        <f>'расчет цен и скидок'!Z59</f>
        <v>0.08</v>
      </c>
      <c r="AA59" s="292">
        <f>'расчет цен и скидок'!AA59</f>
        <v>0</v>
      </c>
      <c r="AB59" s="292">
        <f>'расчет цен и скидок'!AB59</f>
        <v>0</v>
      </c>
      <c r="AC59" s="227">
        <f>'расчет цен и скидок'!AC59</f>
        <v>0</v>
      </c>
      <c r="AD59" s="228">
        <f>'расчет цен и скидок'!AD59</f>
        <v>3310</v>
      </c>
      <c r="AE59" s="228">
        <f>'расчет цен и скидок'!AE59</f>
        <v>0</v>
      </c>
      <c r="AF59" s="228">
        <f>'расчет цен и скидок'!AF59</f>
        <v>0</v>
      </c>
      <c r="AG59" s="228">
        <f>'расчет цен и скидок'!AG59</f>
        <v>0</v>
      </c>
      <c r="AH59" s="228">
        <f>'расчет цен и скидок'!AH59</f>
        <v>3710</v>
      </c>
      <c r="AI59" s="228">
        <f>'расчет цен и скидок'!AI59</f>
        <v>0</v>
      </c>
      <c r="AJ59" s="229">
        <f>'расчет цен и скидок'!AJ59</f>
        <v>0.12084592145015106</v>
      </c>
      <c r="AK59" s="227">
        <f>'расчет цен и скидок'!AK59</f>
        <v>0</v>
      </c>
      <c r="AL59" s="239">
        <f>'расчет цен и скидок'!AL59</f>
        <v>3280</v>
      </c>
      <c r="AM59" s="239">
        <f>'расчет цен и скидок'!AM59</f>
        <v>3610</v>
      </c>
      <c r="AN59" s="242">
        <f>'расчет цен и скидок'!AN59</f>
        <v>0.10060975609756098</v>
      </c>
      <c r="AO59" s="227">
        <f>'расчет цен и скидок'!AO59</f>
        <v>0</v>
      </c>
      <c r="AP59" s="239">
        <f>'расчет цен и скидок'!AP59</f>
        <v>3560</v>
      </c>
      <c r="AQ59" s="239">
        <f>'расчет цен и скидок'!AQ59</f>
        <v>0</v>
      </c>
      <c r="AR59" s="242">
        <f>'расчет цен и скидок'!AR59</f>
        <v>-1</v>
      </c>
      <c r="AS59" s="227">
        <f>'расчет цен и скидок'!AS59</f>
        <v>0</v>
      </c>
      <c r="AT59" s="239">
        <f>'расчет цен и скидок'!AT59</f>
        <v>6016.949152542373</v>
      </c>
      <c r="AU59" s="239">
        <f>'расчет цен и скидок'!AU59</f>
        <v>0</v>
      </c>
      <c r="AV59" s="242">
        <f>'расчет цен и скидок'!AV59</f>
        <v>-1</v>
      </c>
      <c r="AW59" s="227">
        <f>'расчет цен и скидок'!AW59</f>
        <v>0</v>
      </c>
      <c r="AX59" s="239">
        <f>'расчет цен и скидок'!AX59</f>
        <v>0</v>
      </c>
      <c r="AY59" s="230">
        <f>'расчет цен и скидок'!AY59</f>
        <v>0</v>
      </c>
      <c r="AZ59" s="227">
        <f>'расчет цен и скидок'!AZ59</f>
        <v>0</v>
      </c>
      <c r="BA59" s="239">
        <f>'расчет цен и скидок'!BA59</f>
        <v>0</v>
      </c>
      <c r="BB59" s="230">
        <f>'расчет цен и скидок'!BB59</f>
        <v>0</v>
      </c>
      <c r="BC59" s="227">
        <f>'расчет цен и скидок'!BC59</f>
        <v>0</v>
      </c>
      <c r="BD59" s="217">
        <f>'расчет цен и скидок'!BD59</f>
        <v>0</v>
      </c>
      <c r="BE59" s="217">
        <f>'расчет цен и скидок'!BE59</f>
        <v>0</v>
      </c>
      <c r="BF59" s="218">
        <f>'расчет цен и скидок'!BF59</f>
        <v>0</v>
      </c>
      <c r="BG59" s="228">
        <f>'расчет цен и скидок'!BG59</f>
        <v>0</v>
      </c>
      <c r="BH59" s="230">
        <f>'расчет цен и скидок'!BH59</f>
        <v>0</v>
      </c>
      <c r="BI59" s="227">
        <f>'расчет цен и скидок'!BI59</f>
        <v>0</v>
      </c>
      <c r="BJ59" s="239">
        <f>'расчет цен и скидок'!BJ59</f>
        <v>0</v>
      </c>
      <c r="BK59" s="230">
        <f>'расчет цен и скидок'!BK59</f>
        <v>0</v>
      </c>
      <c r="BL59" s="230">
        <f>'расчет цен и скидок'!BL59</f>
        <v>0</v>
      </c>
      <c r="BM59" s="230">
        <f>'расчет цен и скидок'!BM59</f>
        <v>0</v>
      </c>
      <c r="BN59" s="230">
        <f>'расчет цен и скидок'!BN59</f>
        <v>0</v>
      </c>
      <c r="BO59" s="230">
        <f>'расчет цен и скидок'!BO59</f>
        <v>0</v>
      </c>
      <c r="BP59" s="230">
        <f>'расчет цен и скидок'!BP59</f>
        <v>0</v>
      </c>
      <c r="BQ59" s="230">
        <f>'расчет цен и скидок'!BQ59</f>
        <v>0</v>
      </c>
      <c r="BR59" s="230">
        <f>'расчет цен и скидок'!BR59</f>
        <v>0</v>
      </c>
      <c r="BS59" s="230">
        <f>'расчет цен и скидок'!BS59</f>
        <v>0</v>
      </c>
      <c r="BT59" s="230">
        <f>'расчет цен и скидок'!BT59</f>
        <v>0</v>
      </c>
      <c r="BU59" s="230">
        <f>'расчет цен и скидок'!BU59</f>
        <v>0</v>
      </c>
      <c r="BV59" s="230">
        <f>'расчет цен и скидок'!BV59</f>
        <v>0</v>
      </c>
      <c r="BW59" s="230">
        <f>'расчет цен и скидок'!BW59</f>
        <v>0</v>
      </c>
      <c r="BX59" s="230">
        <f>'расчет цен и скидок'!BX59</f>
        <v>0</v>
      </c>
      <c r="BY59" s="230">
        <f>'расчет цен и скидок'!BY59</f>
        <v>0</v>
      </c>
      <c r="BZ59" s="230">
        <f>'расчет цен и скидок'!BZ59</f>
        <v>0</v>
      </c>
      <c r="CA59" s="230">
        <f>'расчет цен и скидок'!CA59</f>
        <v>0</v>
      </c>
      <c r="CB59" s="230">
        <f>'расчет цен и скидок'!CB59</f>
        <v>0</v>
      </c>
      <c r="CC59" s="230">
        <f>'расчет цен и скидок'!CC59</f>
        <v>0</v>
      </c>
      <c r="CD59" s="230">
        <f>'расчет цен и скидок'!CD59</f>
        <v>0</v>
      </c>
      <c r="CE59" s="230">
        <f>'расчет цен и скидок'!CE59</f>
        <v>0</v>
      </c>
      <c r="CF59" s="230">
        <f>'расчет цен и скидок'!CF59</f>
        <v>0</v>
      </c>
      <c r="CG59" s="230">
        <f>'расчет цен и скидок'!CG59</f>
        <v>0</v>
      </c>
      <c r="CH59" s="230">
        <f>'расчет цен и скидок'!CH59</f>
        <v>0</v>
      </c>
      <c r="CI59" s="230">
        <f>'расчет цен и скидок'!CI59</f>
        <v>0</v>
      </c>
      <c r="CJ59" s="230">
        <f>'расчет цен и скидок'!CJ59</f>
        <v>0</v>
      </c>
      <c r="CK59" s="230">
        <f>'расчет цен и скидок'!CK59</f>
        <v>0</v>
      </c>
      <c r="CL59" s="230">
        <f>'расчет цен и скидок'!CL59</f>
        <v>0</v>
      </c>
      <c r="CM59" s="230">
        <f>'расчет цен и скидок'!CM59</f>
        <v>0</v>
      </c>
      <c r="CN59" s="230">
        <f>'расчет цен и скидок'!CN59</f>
        <v>0</v>
      </c>
    </row>
    <row r="60" spans="1:92" ht="15.75">
      <c r="A60" s="279" t="str">
        <f>'расчет цен и скидок'!A60</f>
        <v>ШБ 45</v>
      </c>
      <c r="B60" s="308" t="str">
        <f>'расчет цен и скидок'!B60</f>
        <v>1 кирпич</v>
      </c>
      <c r="C60" s="219">
        <f>'расчет цен и скидок'!C60</f>
        <v>0</v>
      </c>
      <c r="D60" s="219">
        <f>'расчет цен и скидок'!D60</f>
        <v>0</v>
      </c>
      <c r="E60" s="219">
        <f>'расчет цен и скидок'!E60</f>
        <v>0</v>
      </c>
      <c r="F60" s="219">
        <f>'расчет цен и скидок'!F60</f>
        <v>0</v>
      </c>
      <c r="G60" s="219">
        <f>'расчет цен и скидок'!G60</f>
        <v>0</v>
      </c>
      <c r="H60" s="219">
        <f>'расчет цен и скидок'!H60</f>
        <v>0</v>
      </c>
      <c r="I60" s="219">
        <f>'расчет цен и скидок'!I60</f>
        <v>0</v>
      </c>
      <c r="J60" s="219">
        <f>'расчет цен и скидок'!J60</f>
        <v>0</v>
      </c>
      <c r="K60" s="231">
        <f>'расчет цен и скидок'!K60</f>
        <v>17.45119047619048</v>
      </c>
      <c r="L60" s="231">
        <f>'расчет цен и скидок'!L60</f>
        <v>20.59</v>
      </c>
      <c r="M60" s="231">
        <f>'расчет цен и скидок'!M60</f>
        <v>0</v>
      </c>
      <c r="N60" s="231">
        <f>'расчет цен и скидок'!N60</f>
        <v>18.672773809523814</v>
      </c>
      <c r="O60" s="221">
        <f>'расчет цен и скидок'!O60</f>
        <v>22.0338730952381</v>
      </c>
      <c r="P60" s="232">
        <f>'расчет цен и скидок'!P60</f>
        <v>0</v>
      </c>
      <c r="Q60" s="233">
        <f>'расчет цен и скидок'!Q60</f>
        <v>0</v>
      </c>
      <c r="R60" s="234">
        <f>'расчет цен и скидок'!R60</f>
        <v>0</v>
      </c>
      <c r="S60" s="223">
        <f>'расчет цен и скидок'!S60</f>
        <v>0.07</v>
      </c>
      <c r="T60" s="224">
        <f>'расчет цен и скидок'!T60</f>
        <v>0.07012496820000486</v>
      </c>
      <c r="U60" s="291">
        <f>'расчет цен и скидок'!U60</f>
        <v>0.05</v>
      </c>
      <c r="V60" s="292">
        <f>'расчет цен и скидок'!V60</f>
        <v>0</v>
      </c>
      <c r="W60" s="292">
        <f>'расчет цен и скидок'!W60</f>
        <v>0</v>
      </c>
      <c r="X60" s="292">
        <f>'расчет цен и скидок'!X60</f>
        <v>0</v>
      </c>
      <c r="Y60" s="290">
        <f>'расчет цен и скидок'!Y60</f>
        <v>0</v>
      </c>
      <c r="Z60" s="291">
        <f>'расчет цен и скидок'!Z60</f>
        <v>0.08</v>
      </c>
      <c r="AA60" s="292">
        <f>'расчет цен и скидок'!AA60</f>
        <v>0</v>
      </c>
      <c r="AB60" s="292">
        <f>'расчет цен и скидок'!AB60</f>
        <v>0</v>
      </c>
      <c r="AC60" s="227">
        <f>'расчет цен и скидок'!AC60</f>
        <v>0</v>
      </c>
      <c r="AD60" s="228">
        <f>'расчет цен и скидок'!AD60</f>
        <v>0</v>
      </c>
      <c r="AE60" s="228">
        <f>'расчет цен и скидок'!AE60</f>
        <v>0</v>
      </c>
      <c r="AF60" s="228">
        <f>'расчет цен и скидок'!AF60</f>
        <v>0</v>
      </c>
      <c r="AG60" s="228">
        <f>'расчет цен и скидок'!AG60</f>
        <v>0</v>
      </c>
      <c r="AH60" s="228">
        <f>'расчет цен и скидок'!AH60</f>
        <v>0</v>
      </c>
      <c r="AI60" s="228">
        <f>'расчет цен и скидок'!AI60</f>
        <v>0</v>
      </c>
      <c r="AJ60" s="229" t="e">
        <f>'расчет цен и скидок'!AJ60</f>
        <v>#DIV/0!</v>
      </c>
      <c r="AK60" s="227">
        <f>'расчет цен и скидок'!AK60</f>
        <v>0</v>
      </c>
      <c r="AL60" s="228">
        <f>'расчет цен и скидок'!AL60</f>
        <v>0</v>
      </c>
      <c r="AM60" s="228">
        <f>'расчет цен и скидок'!AM60</f>
        <v>0</v>
      </c>
      <c r="AN60" s="228">
        <f>'расчет цен и скидок'!AN60</f>
        <v>0</v>
      </c>
      <c r="AO60" s="227">
        <f>'расчет цен и скидок'!AO60</f>
        <v>0</v>
      </c>
      <c r="AP60" s="228">
        <f>'расчет цен и скидок'!AP60</f>
        <v>0</v>
      </c>
      <c r="AQ60" s="228">
        <f>'расчет цен и скидок'!AQ60</f>
        <v>0</v>
      </c>
      <c r="AR60" s="228">
        <f>'расчет цен и скидок'!AR60</f>
        <v>0</v>
      </c>
      <c r="AS60" s="227">
        <f>'расчет цен и скидок'!AS60</f>
        <v>0</v>
      </c>
      <c r="AT60" s="228">
        <f>'расчет цен и скидок'!AT60</f>
        <v>0</v>
      </c>
      <c r="AU60" s="228">
        <f>'расчет цен и скидок'!AU60</f>
        <v>0</v>
      </c>
      <c r="AV60" s="228">
        <f>'расчет цен и скидок'!AV60</f>
        <v>0</v>
      </c>
      <c r="AW60" s="227">
        <f>'расчет цен и скидок'!AW60</f>
        <v>0</v>
      </c>
      <c r="AX60" s="228">
        <f>'расчет цен и скидок'!AX60</f>
        <v>0</v>
      </c>
      <c r="AY60" s="230">
        <f>'расчет цен и скидок'!AY60</f>
        <v>0</v>
      </c>
      <c r="AZ60" s="227">
        <f>'расчет цен и скидок'!AZ60</f>
        <v>0</v>
      </c>
      <c r="BA60" s="228">
        <f>'расчет цен и скидок'!BA60</f>
        <v>0</v>
      </c>
      <c r="BB60" s="230">
        <f>'расчет цен и скидок'!BB60</f>
        <v>0</v>
      </c>
      <c r="BC60" s="227">
        <f>'расчет цен и скидок'!BC60</f>
        <v>0</v>
      </c>
      <c r="BD60" s="230">
        <f>'расчет цен и скидок'!BD60</f>
        <v>0</v>
      </c>
      <c r="BE60" s="230">
        <f>'расчет цен и скидок'!BE60</f>
        <v>0</v>
      </c>
      <c r="BF60" s="218">
        <f>'расчет цен и скидок'!BF60</f>
        <v>0</v>
      </c>
      <c r="BG60" s="228">
        <f>'расчет цен и скидок'!BG60</f>
        <v>0</v>
      </c>
      <c r="BH60" s="230">
        <f>'расчет цен и скидок'!BH60</f>
        <v>0</v>
      </c>
      <c r="BI60" s="227">
        <f>'расчет цен и скидок'!BI60</f>
        <v>0</v>
      </c>
      <c r="BJ60" s="228">
        <f>'расчет цен и скидок'!BJ60</f>
        <v>0</v>
      </c>
      <c r="BK60" s="230">
        <f>'расчет цен и скидок'!BK60</f>
        <v>0</v>
      </c>
      <c r="BL60" s="230">
        <f>'расчет цен и скидок'!BL60</f>
        <v>0</v>
      </c>
      <c r="BM60" s="230">
        <f>'расчет цен и скидок'!BM60</f>
        <v>0</v>
      </c>
      <c r="BN60" s="230">
        <f>'расчет цен и скидок'!BN60</f>
        <v>0</v>
      </c>
      <c r="BO60" s="230">
        <f>'расчет цен и скидок'!BO60</f>
        <v>0</v>
      </c>
      <c r="BP60" s="230">
        <f>'расчет цен и скидок'!BP60</f>
        <v>0</v>
      </c>
      <c r="BQ60" s="230">
        <f>'расчет цен и скидок'!BQ60</f>
        <v>0</v>
      </c>
      <c r="BR60" s="230">
        <f>'расчет цен и скидок'!BR60</f>
        <v>0</v>
      </c>
      <c r="BS60" s="230">
        <f>'расчет цен и скидок'!BS60</f>
        <v>0</v>
      </c>
      <c r="BT60" s="230">
        <f>'расчет цен и скидок'!BT60</f>
        <v>0</v>
      </c>
      <c r="BU60" s="230">
        <f>'расчет цен и скидок'!BU60</f>
        <v>0</v>
      </c>
      <c r="BV60" s="230">
        <f>'расчет цен и скидок'!BV60</f>
        <v>0</v>
      </c>
      <c r="BW60" s="230">
        <f>'расчет цен и скидок'!BW60</f>
        <v>0</v>
      </c>
      <c r="BX60" s="230">
        <f>'расчет цен и скидок'!BX60</f>
        <v>0</v>
      </c>
      <c r="BY60" s="230">
        <f>'расчет цен и скидок'!BY60</f>
        <v>0</v>
      </c>
      <c r="BZ60" s="230">
        <f>'расчет цен и скидок'!BZ60</f>
        <v>0</v>
      </c>
      <c r="CA60" s="230">
        <f>'расчет цен и скидок'!CA60</f>
        <v>0</v>
      </c>
      <c r="CB60" s="230">
        <f>'расчет цен и скидок'!CB60</f>
        <v>0</v>
      </c>
      <c r="CC60" s="230">
        <f>'расчет цен и скидок'!CC60</f>
        <v>0</v>
      </c>
      <c r="CD60" s="230">
        <f>'расчет цен и скидок'!CD60</f>
        <v>0</v>
      </c>
      <c r="CE60" s="230">
        <f>'расчет цен и скидок'!CE60</f>
        <v>0</v>
      </c>
      <c r="CF60" s="230">
        <f>'расчет цен и скидок'!CF60</f>
        <v>0</v>
      </c>
      <c r="CG60" s="230">
        <f>'расчет цен и скидок'!CG60</f>
        <v>0</v>
      </c>
      <c r="CH60" s="230">
        <f>'расчет цен и скидок'!CH60</f>
        <v>0</v>
      </c>
      <c r="CI60" s="230">
        <f>'расчет цен и скидок'!CI60</f>
        <v>0</v>
      </c>
      <c r="CJ60" s="230">
        <f>'расчет цен и скидок'!CJ60</f>
        <v>0</v>
      </c>
      <c r="CK60" s="230">
        <f>'расчет цен и скидок'!CK60</f>
        <v>0</v>
      </c>
      <c r="CL60" s="230">
        <f>'расчет цен и скидок'!CL60</f>
        <v>0</v>
      </c>
      <c r="CM60" s="230">
        <f>'расчет цен и скидок'!CM60</f>
        <v>0</v>
      </c>
      <c r="CN60" s="230">
        <f>'расчет цен и скидок'!CN60</f>
        <v>0</v>
      </c>
    </row>
    <row r="61" spans="1:92" ht="15.75">
      <c r="A61" s="279" t="str">
        <f>'расчет цен и скидок'!A61</f>
        <v>ШБ 45</v>
      </c>
      <c r="B61" s="308" t="str">
        <f>'расчет цен и скидок'!B61</f>
        <v>1 поддон (420 кирпичей, около 1,370 тонн)</v>
      </c>
      <c r="C61" s="219">
        <f>'расчет цен и скидок'!C61</f>
        <v>0</v>
      </c>
      <c r="D61" s="219">
        <f>'расчет цен и скидок'!D61</f>
        <v>0</v>
      </c>
      <c r="E61" s="219">
        <f>'расчет цен и скидок'!E61</f>
        <v>0</v>
      </c>
      <c r="F61" s="219">
        <f>'расчет цен и скидок'!F61</f>
        <v>0</v>
      </c>
      <c r="G61" s="219">
        <f>'расчет цен и скидок'!G61</f>
        <v>0</v>
      </c>
      <c r="H61" s="219">
        <f>'расчет цен и скидок'!H61</f>
        <v>0</v>
      </c>
      <c r="I61" s="219">
        <f>'расчет цен и скидок'!I61</f>
        <v>0</v>
      </c>
      <c r="J61" s="219">
        <f>'расчет цен и скидок'!J61</f>
        <v>0</v>
      </c>
      <c r="K61" s="231">
        <f>'расчет цен и скидок'!K61</f>
        <v>7329.500000000001</v>
      </c>
      <c r="L61" s="231">
        <f>'расчет цен и скидок'!L61</f>
        <v>8648.81</v>
      </c>
      <c r="M61" s="231">
        <f>'расчет цен и скидок'!M61</f>
        <v>0</v>
      </c>
      <c r="N61" s="231">
        <f>'расчет цен и скидок'!N61</f>
        <v>7842.565000000001</v>
      </c>
      <c r="O61" s="221">
        <f>'расчет цен и скидок'!O61</f>
        <v>9254.226700000001</v>
      </c>
      <c r="P61" s="232">
        <f>'расчет цен и скидок'!P61</f>
        <v>0</v>
      </c>
      <c r="Q61" s="233">
        <f>'расчет цен и скидок'!Q61</f>
        <v>0</v>
      </c>
      <c r="R61" s="234">
        <f>'расчет цен и скидок'!R61</f>
        <v>0</v>
      </c>
      <c r="S61" s="223">
        <f>'расчет цен и скидок'!S61</f>
        <v>0.07</v>
      </c>
      <c r="T61" s="224">
        <f>'расчет цен и скидок'!T61</f>
        <v>0.07000000000000019</v>
      </c>
      <c r="U61" s="291">
        <f>'расчет цен и скидок'!U61</f>
        <v>0.05</v>
      </c>
      <c r="V61" s="292">
        <f>'расчет цен и скидок'!V61</f>
        <v>0</v>
      </c>
      <c r="W61" s="292">
        <f>'расчет цен и скидок'!W61</f>
        <v>0</v>
      </c>
      <c r="X61" s="292">
        <f>'расчет цен и скидок'!X61</f>
        <v>0</v>
      </c>
      <c r="Y61" s="290">
        <f>'расчет цен и скидок'!Y61</f>
        <v>0</v>
      </c>
      <c r="Z61" s="291">
        <f>'расчет цен и скидок'!Z61</f>
        <v>0.08</v>
      </c>
      <c r="AA61" s="292">
        <f>'расчет цен и скидок'!AA61</f>
        <v>0</v>
      </c>
      <c r="AB61" s="292">
        <f>'расчет цен и скидок'!AB61</f>
        <v>0</v>
      </c>
      <c r="AC61" s="227">
        <f>'расчет цен и скидок'!AC61</f>
        <v>0</v>
      </c>
      <c r="AD61" s="228">
        <f>'расчет цен и скидок'!AD61</f>
        <v>0</v>
      </c>
      <c r="AE61" s="228">
        <f>'расчет цен и скидок'!AE61</f>
        <v>0</v>
      </c>
      <c r="AF61" s="228">
        <f>'расчет цен и скидок'!AF61</f>
        <v>0</v>
      </c>
      <c r="AG61" s="228">
        <f>'расчет цен и скидок'!AG61</f>
        <v>0</v>
      </c>
      <c r="AH61" s="228">
        <f>'расчет цен и скидок'!AH61</f>
        <v>0</v>
      </c>
      <c r="AI61" s="228">
        <f>'расчет цен и скидок'!AI61</f>
        <v>0</v>
      </c>
      <c r="AJ61" s="229" t="e">
        <f>'расчет цен и скидок'!AJ61</f>
        <v>#DIV/0!</v>
      </c>
      <c r="AK61" s="227">
        <f>'расчет цен и скидок'!AK61</f>
        <v>0</v>
      </c>
      <c r="AL61" s="228">
        <f>'расчет цен и скидок'!AL61</f>
        <v>0</v>
      </c>
      <c r="AM61" s="228">
        <f>'расчет цен и скидок'!AM61</f>
        <v>0</v>
      </c>
      <c r="AN61" s="228">
        <f>'расчет цен и скидок'!AN61</f>
        <v>0</v>
      </c>
      <c r="AO61" s="227">
        <f>'расчет цен и скидок'!AO61</f>
        <v>0</v>
      </c>
      <c r="AP61" s="228">
        <f>'расчет цен и скидок'!AP61</f>
        <v>0</v>
      </c>
      <c r="AQ61" s="228">
        <f>'расчет цен и скидок'!AQ61</f>
        <v>0</v>
      </c>
      <c r="AR61" s="228">
        <f>'расчет цен и скидок'!AR61</f>
        <v>0</v>
      </c>
      <c r="AS61" s="227">
        <f>'расчет цен и скидок'!AS61</f>
        <v>0</v>
      </c>
      <c r="AT61" s="228">
        <f>'расчет цен и скидок'!AT61</f>
        <v>0</v>
      </c>
      <c r="AU61" s="228">
        <f>'расчет цен и скидок'!AU61</f>
        <v>0</v>
      </c>
      <c r="AV61" s="228">
        <f>'расчет цен и скидок'!AV61</f>
        <v>0</v>
      </c>
      <c r="AW61" s="227">
        <f>'расчет цен и скидок'!AW61</f>
        <v>0</v>
      </c>
      <c r="AX61" s="228">
        <f>'расчет цен и скидок'!AX61</f>
        <v>0</v>
      </c>
      <c r="AY61" s="230">
        <f>'расчет цен и скидок'!AY61</f>
        <v>0</v>
      </c>
      <c r="AZ61" s="227">
        <f>'расчет цен и скидок'!AZ61</f>
        <v>0</v>
      </c>
      <c r="BA61" s="228">
        <f>'расчет цен и скидок'!BA61</f>
        <v>0</v>
      </c>
      <c r="BB61" s="230">
        <f>'расчет цен и скидок'!BB61</f>
        <v>0</v>
      </c>
      <c r="BC61" s="227">
        <f>'расчет цен и скидок'!BC61</f>
        <v>0</v>
      </c>
      <c r="BD61" s="230">
        <f>'расчет цен и скидок'!BD61</f>
        <v>0</v>
      </c>
      <c r="BE61" s="230">
        <f>'расчет цен и скидок'!BE61</f>
        <v>0</v>
      </c>
      <c r="BF61" s="218">
        <f>'расчет цен и скидок'!BF61</f>
        <v>0</v>
      </c>
      <c r="BG61" s="228">
        <f>'расчет цен и скидок'!BG61</f>
        <v>0</v>
      </c>
      <c r="BH61" s="230">
        <f>'расчет цен и скидок'!BH61</f>
        <v>0</v>
      </c>
      <c r="BI61" s="227">
        <f>'расчет цен и скидок'!BI61</f>
        <v>0</v>
      </c>
      <c r="BJ61" s="228">
        <f>'расчет цен и скидок'!BJ61</f>
        <v>0</v>
      </c>
      <c r="BK61" s="230">
        <f>'расчет цен и скидок'!BK61</f>
        <v>0</v>
      </c>
      <c r="BL61" s="230">
        <f>'расчет цен и скидок'!BL61</f>
        <v>0</v>
      </c>
      <c r="BM61" s="230">
        <f>'расчет цен и скидок'!BM61</f>
        <v>0</v>
      </c>
      <c r="BN61" s="230">
        <f>'расчет цен и скидок'!BN61</f>
        <v>0</v>
      </c>
      <c r="BO61" s="230">
        <f>'расчет цен и скидок'!BO61</f>
        <v>0</v>
      </c>
      <c r="BP61" s="230">
        <f>'расчет цен и скидок'!BP61</f>
        <v>0</v>
      </c>
      <c r="BQ61" s="230">
        <f>'расчет цен и скидок'!BQ61</f>
        <v>0</v>
      </c>
      <c r="BR61" s="230">
        <f>'расчет цен и скидок'!BR61</f>
        <v>0</v>
      </c>
      <c r="BS61" s="230">
        <f>'расчет цен и скидок'!BS61</f>
        <v>0</v>
      </c>
      <c r="BT61" s="230">
        <f>'расчет цен и скидок'!BT61</f>
        <v>0</v>
      </c>
      <c r="BU61" s="230">
        <f>'расчет цен и скидок'!BU61</f>
        <v>0</v>
      </c>
      <c r="BV61" s="230">
        <f>'расчет цен и скидок'!BV61</f>
        <v>0</v>
      </c>
      <c r="BW61" s="230">
        <f>'расчет цен и скидок'!BW61</f>
        <v>0</v>
      </c>
      <c r="BX61" s="230">
        <f>'расчет цен и скидок'!BX61</f>
        <v>0</v>
      </c>
      <c r="BY61" s="230">
        <f>'расчет цен и скидок'!BY61</f>
        <v>0</v>
      </c>
      <c r="BZ61" s="230">
        <f>'расчет цен и скидок'!BZ61</f>
        <v>0</v>
      </c>
      <c r="CA61" s="230">
        <f>'расчет цен и скидок'!CA61</f>
        <v>0</v>
      </c>
      <c r="CB61" s="230">
        <f>'расчет цен и скидок'!CB61</f>
        <v>0</v>
      </c>
      <c r="CC61" s="230">
        <f>'расчет цен и скидок'!CC61</f>
        <v>0</v>
      </c>
      <c r="CD61" s="230">
        <f>'расчет цен и скидок'!CD61</f>
        <v>0</v>
      </c>
      <c r="CE61" s="230">
        <f>'расчет цен и скидок'!CE61</f>
        <v>0</v>
      </c>
      <c r="CF61" s="230">
        <f>'расчет цен и скидок'!CF61</f>
        <v>0</v>
      </c>
      <c r="CG61" s="230">
        <f>'расчет цен и скидок'!CG61</f>
        <v>0</v>
      </c>
      <c r="CH61" s="230">
        <f>'расчет цен и скидок'!CH61</f>
        <v>0</v>
      </c>
      <c r="CI61" s="230">
        <f>'расчет цен и скидок'!CI61</f>
        <v>0</v>
      </c>
      <c r="CJ61" s="230">
        <f>'расчет цен и скидок'!CJ61</f>
        <v>0</v>
      </c>
      <c r="CK61" s="230">
        <f>'расчет цен и скидок'!CK61</f>
        <v>0</v>
      </c>
      <c r="CL61" s="230">
        <f>'расчет цен и скидок'!CL61</f>
        <v>0</v>
      </c>
      <c r="CM61" s="230">
        <f>'расчет цен и скидок'!CM61</f>
        <v>0</v>
      </c>
      <c r="CN61" s="230">
        <f>'расчет цен и скидок'!CN61</f>
        <v>0</v>
      </c>
    </row>
    <row r="62" spans="2:36" ht="15.75">
      <c r="B62" s="308"/>
      <c r="P62" s="232"/>
      <c r="Q62" s="233"/>
      <c r="R62" s="234"/>
      <c r="S62" s="223"/>
      <c r="T62" s="224"/>
      <c r="U62" s="250"/>
      <c r="Z62" s="250"/>
      <c r="AJ62" s="229"/>
    </row>
    <row r="63" spans="1:92" ht="15.75">
      <c r="A63" s="279" t="str">
        <f>'расчет цен и скидок'!A63</f>
        <v>глина огнеупорная</v>
      </c>
      <c r="B63" s="308" t="str">
        <f>'расчет цен и скидок'!B63</f>
        <v>МКР</v>
      </c>
      <c r="C63" s="219">
        <f>'расчет цен и скидок'!C63</f>
        <v>0</v>
      </c>
      <c r="D63" s="219">
        <f>'расчет цен и скидок'!D63</f>
        <v>0</v>
      </c>
      <c r="E63" s="219">
        <f>'расчет цен и скидок'!E63</f>
        <v>0</v>
      </c>
      <c r="F63" s="219">
        <f>'расчет цен и скидок'!F63</f>
        <v>0</v>
      </c>
      <c r="G63" s="219">
        <f>'расчет цен и скидок'!G63</f>
        <v>0</v>
      </c>
      <c r="H63" s="219">
        <f>'расчет цен и скидок'!H63</f>
        <v>0</v>
      </c>
      <c r="I63" s="219">
        <f>'расчет цен и скидок'!I63</f>
        <v>0</v>
      </c>
      <c r="J63" s="219">
        <f>'расчет цен и скидок'!J63</f>
        <v>0</v>
      </c>
      <c r="K63" s="221">
        <f>'расчет цен и скидок'!K63</f>
        <v>3100</v>
      </c>
      <c r="L63" s="231">
        <f>'расчет цен и скидок'!L63</f>
        <v>3658</v>
      </c>
      <c r="M63" s="231">
        <f>'расчет цен и скидок'!M63</f>
        <v>0</v>
      </c>
      <c r="N63" s="221">
        <f>'расчет цен и скидок'!N63</f>
        <v>3720</v>
      </c>
      <c r="O63" s="221">
        <f>'расчет цен и скидок'!O63</f>
        <v>4389.599999999999</v>
      </c>
      <c r="P63" s="232">
        <f>'расчет цен и скидок'!P63</f>
        <v>3700</v>
      </c>
      <c r="Q63" s="233">
        <f>'расчет цен и скидок'!Q63</f>
        <v>666</v>
      </c>
      <c r="R63" s="234">
        <f>'расчет цен и скидок'!R63</f>
        <v>4366</v>
      </c>
      <c r="S63" s="223">
        <f>'расчет цен и скидок'!S63</f>
        <v>0.2</v>
      </c>
      <c r="T63" s="224">
        <f>'расчет цен и скидок'!T63</f>
        <v>0.19999999999999984</v>
      </c>
      <c r="U63" s="291">
        <f>'расчет цен и скидок'!U63</f>
        <v>0.05</v>
      </c>
      <c r="V63" s="292">
        <f>'расчет цен и скидок'!V63</f>
        <v>3515</v>
      </c>
      <c r="W63" s="292">
        <f>'расчет цен и скидок'!W63</f>
        <v>0</v>
      </c>
      <c r="X63" s="292">
        <f>'расчет цен и скидок'!X63</f>
        <v>0</v>
      </c>
      <c r="Y63" s="290">
        <f>'расчет цен и скидок'!Y63</f>
        <v>0</v>
      </c>
      <c r="Z63" s="291">
        <f>'расчет цен и скидок'!Z63</f>
        <v>0.08</v>
      </c>
      <c r="AA63" s="292">
        <f>'расчет цен и скидок'!AA63</f>
        <v>0</v>
      </c>
      <c r="AB63" s="292">
        <f>'расчет цен и скидок'!AB63</f>
        <v>0</v>
      </c>
      <c r="AC63" s="227">
        <f>'расчет цен и скидок'!AC63</f>
        <v>0</v>
      </c>
      <c r="AD63" s="228">
        <f>'расчет цен и скидок'!AD63</f>
        <v>0</v>
      </c>
      <c r="AE63" s="228">
        <f>'расчет цен и скидок'!AE63</f>
        <v>0</v>
      </c>
      <c r="AF63" s="228">
        <f>'расчет цен и скидок'!AF63</f>
        <v>0</v>
      </c>
      <c r="AG63" s="228">
        <f>'расчет цен и скидок'!AG63</f>
        <v>0</v>
      </c>
      <c r="AH63" s="228">
        <f>'расчет цен и скидок'!AH63</f>
        <v>0</v>
      </c>
      <c r="AI63" s="228">
        <f>'расчет цен и скидок'!AI63</f>
        <v>0</v>
      </c>
      <c r="AJ63" s="229" t="e">
        <f>'расчет цен и скидок'!AJ63</f>
        <v>#DIV/0!</v>
      </c>
      <c r="AK63" s="227">
        <f>'расчет цен и скидок'!AK63</f>
        <v>0</v>
      </c>
      <c r="AL63" s="228">
        <f>'расчет цен и скидок'!AL63</f>
        <v>0</v>
      </c>
      <c r="AM63" s="228">
        <f>'расчет цен и скидок'!AM63</f>
        <v>0</v>
      </c>
      <c r="AN63" s="228">
        <f>'расчет цен и скидок'!AN63</f>
        <v>0</v>
      </c>
      <c r="AO63" s="227">
        <f>'расчет цен и скидок'!AO63</f>
        <v>0</v>
      </c>
      <c r="AP63" s="228">
        <f>'расчет цен и скидок'!AP63</f>
        <v>0</v>
      </c>
      <c r="AQ63" s="228">
        <f>'расчет цен и скидок'!AQ63</f>
        <v>0</v>
      </c>
      <c r="AR63" s="228">
        <f>'расчет цен и скидок'!AR63</f>
        <v>0</v>
      </c>
      <c r="AS63" s="227">
        <f>'расчет цен и скидок'!AS63</f>
        <v>0</v>
      </c>
      <c r="AT63" s="228">
        <f>'расчет цен и скидок'!AT63</f>
        <v>5042.372881355933</v>
      </c>
      <c r="AU63" s="228">
        <f>'расчет цен и скидок'!AU63</f>
        <v>0</v>
      </c>
      <c r="AV63" s="228">
        <f>'расчет цен и скидок'!AV63</f>
        <v>0</v>
      </c>
      <c r="AW63" s="227">
        <f>'расчет цен и скидок'!AW63</f>
        <v>0</v>
      </c>
      <c r="AX63" s="228">
        <f>'расчет цен и скидок'!AX63</f>
        <v>0</v>
      </c>
      <c r="AY63" s="230">
        <f>'расчет цен и скидок'!AY63</f>
        <v>0</v>
      </c>
      <c r="AZ63" s="227">
        <f>'расчет цен и скидок'!AZ63</f>
        <v>0</v>
      </c>
      <c r="BA63" s="228">
        <f>'расчет цен и скидок'!BA63</f>
        <v>0</v>
      </c>
      <c r="BB63" s="230">
        <f>'расчет цен и скидок'!BB63</f>
        <v>0</v>
      </c>
      <c r="BC63" s="227">
        <f>'расчет цен и скидок'!BC63</f>
        <v>0</v>
      </c>
      <c r="BD63" s="230">
        <f>'расчет цен и скидок'!BD63</f>
        <v>0</v>
      </c>
      <c r="BE63" s="230">
        <f>'расчет цен и скидок'!BE63</f>
        <v>0</v>
      </c>
      <c r="BF63" s="218">
        <f>'расчет цен и скидок'!BF63</f>
        <v>0</v>
      </c>
      <c r="BG63" s="228">
        <f>'расчет цен и скидок'!BG63</f>
        <v>0</v>
      </c>
      <c r="BH63" s="230">
        <f>'расчет цен и скидок'!BH63</f>
        <v>0</v>
      </c>
      <c r="BI63" s="227">
        <f>'расчет цен и скидок'!BI63</f>
        <v>0</v>
      </c>
      <c r="BJ63" s="228">
        <f>'расчет цен и скидок'!BJ63</f>
        <v>0</v>
      </c>
      <c r="BK63" s="230">
        <f>'расчет цен и скидок'!BK63</f>
        <v>0</v>
      </c>
      <c r="BL63" s="230">
        <f>'расчет цен и скидок'!BL63</f>
        <v>0</v>
      </c>
      <c r="BM63" s="230">
        <f>'расчет цен и скидок'!BM63</f>
        <v>0</v>
      </c>
      <c r="BN63" s="230">
        <f>'расчет цен и скидок'!BN63</f>
        <v>0</v>
      </c>
      <c r="BO63" s="230">
        <f>'расчет цен и скидок'!BO63</f>
        <v>0</v>
      </c>
      <c r="BP63" s="230">
        <f>'расчет цен и скидок'!BP63</f>
        <v>0</v>
      </c>
      <c r="BQ63" s="230">
        <f>'расчет цен и скидок'!BQ63</f>
        <v>0</v>
      </c>
      <c r="BR63" s="230">
        <f>'расчет цен и скидок'!BR63</f>
        <v>0</v>
      </c>
      <c r="BS63" s="230">
        <f>'расчет цен и скидок'!BS63</f>
        <v>0</v>
      </c>
      <c r="BT63" s="230">
        <f>'расчет цен и скидок'!BT63</f>
        <v>0</v>
      </c>
      <c r="BU63" s="230">
        <f>'расчет цен и скидок'!BU63</f>
        <v>0</v>
      </c>
      <c r="BV63" s="230">
        <f>'расчет цен и скидок'!BV63</f>
        <v>0</v>
      </c>
      <c r="BW63" s="230">
        <f>'расчет цен и скидок'!BW63</f>
        <v>0</v>
      </c>
      <c r="BX63" s="230">
        <f>'расчет цен и скидок'!BX63</f>
        <v>0</v>
      </c>
      <c r="BY63" s="230">
        <f>'расчет цен и скидок'!BY63</f>
        <v>0</v>
      </c>
      <c r="BZ63" s="230">
        <f>'расчет цен и скидок'!BZ63</f>
        <v>0</v>
      </c>
      <c r="CA63" s="230">
        <f>'расчет цен и скидок'!CA63</f>
        <v>0</v>
      </c>
      <c r="CB63" s="230">
        <f>'расчет цен и скидок'!CB63</f>
        <v>0</v>
      </c>
      <c r="CC63" s="230">
        <f>'расчет цен и скидок'!CC63</f>
        <v>0</v>
      </c>
      <c r="CD63" s="230">
        <f>'расчет цен и скидок'!CD63</f>
        <v>0</v>
      </c>
      <c r="CE63" s="230">
        <f>'расчет цен и скидок'!CE63</f>
        <v>0</v>
      </c>
      <c r="CF63" s="230">
        <f>'расчет цен и скидок'!CF63</f>
        <v>0</v>
      </c>
      <c r="CG63" s="230">
        <f>'расчет цен и скидок'!CG63</f>
        <v>0</v>
      </c>
      <c r="CH63" s="230">
        <f>'расчет цен и скидок'!CH63</f>
        <v>0</v>
      </c>
      <c r="CI63" s="230">
        <f>'расчет цен и скидок'!CI63</f>
        <v>0</v>
      </c>
      <c r="CJ63" s="230">
        <f>'расчет цен и скидок'!CJ63</f>
        <v>0</v>
      </c>
      <c r="CK63" s="230">
        <f>'расчет цен и скидок'!CK63</f>
        <v>0</v>
      </c>
      <c r="CL63" s="230">
        <f>'расчет цен и скидок'!CL63</f>
        <v>0</v>
      </c>
      <c r="CM63" s="230">
        <f>'расчет цен и скидок'!CM63</f>
        <v>0</v>
      </c>
      <c r="CN63" s="230">
        <f>'расчет цен и скидок'!CN63</f>
        <v>0</v>
      </c>
    </row>
    <row r="64" spans="1:92" ht="15.75">
      <c r="A64" s="279" t="str">
        <f>'расчет цен и скидок'!A64</f>
        <v>глина огнеупорная</v>
      </c>
      <c r="B64" s="308" t="str">
        <f>'расчет цен и скидок'!B64</f>
        <v>м/т по 50 кг</v>
      </c>
      <c r="C64" s="219">
        <f>'расчет цен и скидок'!C64</f>
        <v>0</v>
      </c>
      <c r="D64" s="219">
        <f>'расчет цен и скидок'!D64</f>
        <v>0</v>
      </c>
      <c r="E64" s="219">
        <f>'расчет цен и скидок'!E64</f>
        <v>0</v>
      </c>
      <c r="F64" s="219">
        <f>'расчет цен и скидок'!F64</f>
        <v>0</v>
      </c>
      <c r="G64" s="219">
        <f>'расчет цен и скидок'!G64</f>
        <v>0</v>
      </c>
      <c r="H64" s="219">
        <f>'расчет цен и скидок'!H64</f>
        <v>0</v>
      </c>
      <c r="I64" s="219">
        <f>'расчет цен и скидок'!I64</f>
        <v>0</v>
      </c>
      <c r="J64" s="219">
        <f>'расчет цен и скидок'!J64</f>
        <v>0</v>
      </c>
      <c r="K64" s="221">
        <f>'расчет цен и скидок'!K64</f>
        <v>3600</v>
      </c>
      <c r="L64" s="231">
        <f>'расчет цен и скидок'!L64</f>
        <v>4248</v>
      </c>
      <c r="M64" s="231">
        <f>'расчет цен и скидок'!M64</f>
        <v>0</v>
      </c>
      <c r="N64" s="221">
        <f>'расчет цен и скидок'!N64</f>
        <v>4320</v>
      </c>
      <c r="O64" s="221">
        <f>'расчет цен и скидок'!O64</f>
        <v>5097.599999999999</v>
      </c>
      <c r="P64" s="232">
        <f>'расчет цен и скидок'!P64</f>
        <v>4300</v>
      </c>
      <c r="Q64" s="233">
        <f>'расчет цен и скидок'!Q64</f>
        <v>774</v>
      </c>
      <c r="R64" s="234">
        <f>'расчет цен и скидок'!R64</f>
        <v>5074</v>
      </c>
      <c r="S64" s="223">
        <f>'расчет цен и скидок'!S64</f>
        <v>0.2</v>
      </c>
      <c r="T64" s="224">
        <f>'расчет цен и скидок'!T64</f>
        <v>0.19999999999999987</v>
      </c>
      <c r="U64" s="291">
        <f>'расчет цен и скидок'!U64</f>
        <v>0.05</v>
      </c>
      <c r="V64" s="292">
        <f>'расчет цен и скидок'!V64</f>
        <v>4085</v>
      </c>
      <c r="W64" s="292">
        <f>'расчет цен и скидок'!W64</f>
        <v>0</v>
      </c>
      <c r="X64" s="292">
        <f>'расчет цен и скидок'!X64</f>
        <v>0</v>
      </c>
      <c r="Y64" s="290">
        <f>'расчет цен и скидок'!Y64</f>
        <v>0</v>
      </c>
      <c r="Z64" s="291">
        <f>'расчет цен и скидок'!Z64</f>
        <v>0.08</v>
      </c>
      <c r="AA64" s="292">
        <f>'расчет цен и скидок'!AA64</f>
        <v>0</v>
      </c>
      <c r="AB64" s="292">
        <f>'расчет цен и скидок'!AB64</f>
        <v>0</v>
      </c>
      <c r="AC64" s="227">
        <f>'расчет цен и скидок'!AC64</f>
        <v>0</v>
      </c>
      <c r="AD64" s="228">
        <f>'расчет цен и скидок'!AD64</f>
        <v>0</v>
      </c>
      <c r="AE64" s="228">
        <f>'расчет цен и скидок'!AE64</f>
        <v>0</v>
      </c>
      <c r="AF64" s="228">
        <f>'расчет цен и скидок'!AF64</f>
        <v>0</v>
      </c>
      <c r="AG64" s="228">
        <f>'расчет цен и скидок'!AG64</f>
        <v>0</v>
      </c>
      <c r="AH64" s="228">
        <f>'расчет цен и скидок'!AH64</f>
        <v>0</v>
      </c>
      <c r="AI64" s="228">
        <f>'расчет цен и скидок'!AI64</f>
        <v>0</v>
      </c>
      <c r="AJ64" s="229" t="e">
        <f>'расчет цен и скидок'!AJ64</f>
        <v>#DIV/0!</v>
      </c>
      <c r="AK64" s="227">
        <f>'расчет цен и скидок'!AK64</f>
        <v>0</v>
      </c>
      <c r="AL64" s="228">
        <f>'расчет цен и скидок'!AL64</f>
        <v>0</v>
      </c>
      <c r="AM64" s="228">
        <f>'расчет цен и скидок'!AM64</f>
        <v>0</v>
      </c>
      <c r="AN64" s="228">
        <f>'расчет цен и скидок'!AN64</f>
        <v>0</v>
      </c>
      <c r="AO64" s="227">
        <f>'расчет цен и скидок'!AO64</f>
        <v>0</v>
      </c>
      <c r="AP64" s="228">
        <f>'расчет цен и скидок'!AP64</f>
        <v>0</v>
      </c>
      <c r="AQ64" s="228">
        <f>'расчет цен и скидок'!AQ64</f>
        <v>0</v>
      </c>
      <c r="AR64" s="228">
        <f>'расчет цен и скидок'!AR64</f>
        <v>0</v>
      </c>
      <c r="AS64" s="227">
        <f>'расчет цен и скидок'!AS64</f>
        <v>0</v>
      </c>
      <c r="AT64" s="228">
        <f>'расчет цен и скидок'!AT64</f>
        <v>0</v>
      </c>
      <c r="AU64" s="228">
        <f>'расчет цен и скидок'!AU64</f>
        <v>0</v>
      </c>
      <c r="AV64" s="228">
        <f>'расчет цен и скидок'!AV64</f>
        <v>0</v>
      </c>
      <c r="AW64" s="227">
        <f>'расчет цен и скидок'!AW64</f>
        <v>0</v>
      </c>
      <c r="AX64" s="228">
        <f>'расчет цен и скидок'!AX64</f>
        <v>0</v>
      </c>
      <c r="AY64" s="230">
        <f>'расчет цен и скидок'!AY64</f>
        <v>0</v>
      </c>
      <c r="AZ64" s="227">
        <f>'расчет цен и скидок'!AZ64</f>
        <v>0</v>
      </c>
      <c r="BA64" s="228">
        <f>'расчет цен и скидок'!BA64</f>
        <v>0</v>
      </c>
      <c r="BB64" s="230">
        <f>'расчет цен и скидок'!BB64</f>
        <v>0</v>
      </c>
      <c r="BC64" s="227">
        <f>'расчет цен и скидок'!BC64</f>
        <v>0</v>
      </c>
      <c r="BD64" s="230">
        <f>'расчет цен и скидок'!BD64</f>
        <v>0</v>
      </c>
      <c r="BE64" s="230">
        <f>'расчет цен и скидок'!BE64</f>
        <v>0</v>
      </c>
      <c r="BF64" s="218">
        <f>'расчет цен и скидок'!BF64</f>
        <v>0</v>
      </c>
      <c r="BG64" s="228">
        <f>'расчет цен и скидок'!BG64</f>
        <v>0</v>
      </c>
      <c r="BH64" s="230">
        <f>'расчет цен и скидок'!BH64</f>
        <v>0</v>
      </c>
      <c r="BI64" s="227">
        <f>'расчет цен и скидок'!BI64</f>
        <v>0</v>
      </c>
      <c r="BJ64" s="228">
        <f>'расчет цен и скидок'!BJ64</f>
        <v>0</v>
      </c>
      <c r="BK64" s="230">
        <f>'расчет цен и скидок'!BK64</f>
        <v>0</v>
      </c>
      <c r="BL64" s="230">
        <f>'расчет цен и скидок'!BL64</f>
        <v>0</v>
      </c>
      <c r="BM64" s="230">
        <f>'расчет цен и скидок'!BM64</f>
        <v>0</v>
      </c>
      <c r="BN64" s="230">
        <f>'расчет цен и скидок'!BN64</f>
        <v>0</v>
      </c>
      <c r="BO64" s="230">
        <f>'расчет цен и скидок'!BO64</f>
        <v>0</v>
      </c>
      <c r="BP64" s="230">
        <f>'расчет цен и скидок'!BP64</f>
        <v>0</v>
      </c>
      <c r="BQ64" s="230">
        <f>'расчет цен и скидок'!BQ64</f>
        <v>0</v>
      </c>
      <c r="BR64" s="230">
        <f>'расчет цен и скидок'!BR64</f>
        <v>0</v>
      </c>
      <c r="BS64" s="230">
        <f>'расчет цен и скидок'!BS64</f>
        <v>0</v>
      </c>
      <c r="BT64" s="230">
        <f>'расчет цен и скидок'!BT64</f>
        <v>0</v>
      </c>
      <c r="BU64" s="230">
        <f>'расчет цен и скидок'!BU64</f>
        <v>0</v>
      </c>
      <c r="BV64" s="230">
        <f>'расчет цен и скидок'!BV64</f>
        <v>0</v>
      </c>
      <c r="BW64" s="230">
        <f>'расчет цен и скидок'!BW64</f>
        <v>0</v>
      </c>
      <c r="BX64" s="230">
        <f>'расчет цен и скидок'!BX64</f>
        <v>0</v>
      </c>
      <c r="BY64" s="230">
        <f>'расчет цен и скидок'!BY64</f>
        <v>0</v>
      </c>
      <c r="BZ64" s="230">
        <f>'расчет цен и скидок'!BZ64</f>
        <v>0</v>
      </c>
      <c r="CA64" s="230">
        <f>'расчет цен и скидок'!CA64</f>
        <v>0</v>
      </c>
      <c r="CB64" s="230">
        <f>'расчет цен и скидок'!CB64</f>
        <v>0</v>
      </c>
      <c r="CC64" s="230">
        <f>'расчет цен и скидок'!CC64</f>
        <v>0</v>
      </c>
      <c r="CD64" s="230">
        <f>'расчет цен и скидок'!CD64</f>
        <v>0</v>
      </c>
      <c r="CE64" s="230">
        <f>'расчет цен и скидок'!CE64</f>
        <v>0</v>
      </c>
      <c r="CF64" s="230">
        <f>'расчет цен и скидок'!CF64</f>
        <v>0</v>
      </c>
      <c r="CG64" s="230">
        <f>'расчет цен и скидок'!CG64</f>
        <v>0</v>
      </c>
      <c r="CH64" s="230">
        <f>'расчет цен и скидок'!CH64</f>
        <v>0</v>
      </c>
      <c r="CI64" s="230">
        <f>'расчет цен и скидок'!CI64</f>
        <v>0</v>
      </c>
      <c r="CJ64" s="230">
        <f>'расчет цен и скидок'!CJ64</f>
        <v>0</v>
      </c>
      <c r="CK64" s="230">
        <f>'расчет цен и скидок'!CK64</f>
        <v>0</v>
      </c>
      <c r="CL64" s="230">
        <f>'расчет цен и скидок'!CL64</f>
        <v>0</v>
      </c>
      <c r="CM64" s="230">
        <f>'расчет цен и скидок'!CM64</f>
        <v>0</v>
      </c>
      <c r="CN64" s="230">
        <f>'расчет цен и скидок'!CN64</f>
        <v>0</v>
      </c>
    </row>
    <row r="65" spans="1:92" ht="15.75">
      <c r="A65" s="279" t="str">
        <f>'расчет цен и скидок'!A65</f>
        <v>глина огнеупорная</v>
      </c>
      <c r="B65" s="308" t="str">
        <f>'расчет цен и скидок'!B65</f>
        <v>вагонные поставки</v>
      </c>
      <c r="C65" s="219">
        <f>'расчет цен и скидок'!C65</f>
        <v>0</v>
      </c>
      <c r="D65" s="219">
        <f>'расчет цен и скидок'!D65</f>
        <v>0</v>
      </c>
      <c r="E65" s="219">
        <f>'расчет цен и скидок'!E65</f>
        <v>0</v>
      </c>
      <c r="F65" s="219">
        <f>'расчет цен и скидок'!F65</f>
        <v>0</v>
      </c>
      <c r="G65" s="219">
        <f>'расчет цен и скидок'!G65</f>
        <v>0</v>
      </c>
      <c r="H65" s="219">
        <f>'расчет цен и скидок'!H65</f>
        <v>0</v>
      </c>
      <c r="I65" s="219">
        <f>'расчет цен и скидок'!I65</f>
        <v>0</v>
      </c>
      <c r="J65" s="219">
        <f>'расчет цен и скидок'!J65</f>
        <v>0</v>
      </c>
      <c r="K65" s="221">
        <f>'расчет цен и скидок'!K65</f>
        <v>0</v>
      </c>
      <c r="L65" s="231">
        <f>'расчет цен и скидок'!L65</f>
        <v>0</v>
      </c>
      <c r="M65" s="231">
        <f>'расчет цен и скидок'!M65</f>
        <v>0</v>
      </c>
      <c r="N65" s="221">
        <f>'расчет цен и скидок'!N65</f>
        <v>0</v>
      </c>
      <c r="O65" s="221">
        <f>'расчет цен и скидок'!O65</f>
        <v>0</v>
      </c>
      <c r="P65" s="232">
        <f>'расчет цен и скидок'!P65</f>
        <v>0</v>
      </c>
      <c r="Q65" s="233">
        <f>'расчет цен и скидок'!Q65</f>
        <v>0</v>
      </c>
      <c r="R65" s="234">
        <f>'расчет цен и скидок'!R65</f>
        <v>0</v>
      </c>
      <c r="S65" s="252">
        <f>'расчет цен и скидок'!S65</f>
        <v>0</v>
      </c>
      <c r="T65" s="253">
        <f>'расчет цен и скидок'!T65</f>
        <v>0</v>
      </c>
      <c r="U65" s="301">
        <f>'расчет цен и скидок'!U65</f>
        <v>0</v>
      </c>
      <c r="V65" s="292">
        <f>'расчет цен и скидок'!V65</f>
        <v>0</v>
      </c>
      <c r="W65" s="292">
        <f>'расчет цен и скидок'!W65</f>
        <v>0</v>
      </c>
      <c r="X65" s="292">
        <f>'расчет цен и скидок'!X65</f>
        <v>0</v>
      </c>
      <c r="Y65" s="290">
        <f>'расчет цен и скидок'!Y65</f>
        <v>0</v>
      </c>
      <c r="Z65" s="301">
        <f>'расчет цен и скидок'!Z65</f>
        <v>0</v>
      </c>
      <c r="AA65" s="292">
        <f>'расчет цен и скидок'!AA65</f>
        <v>0</v>
      </c>
      <c r="AB65" s="292">
        <f>'расчет цен и скидок'!AB65</f>
        <v>0</v>
      </c>
      <c r="AC65" s="227">
        <f>'расчет цен и скидок'!AC65</f>
        <v>0</v>
      </c>
      <c r="AD65" s="228">
        <f>'расчет цен и скидок'!AD65</f>
        <v>1242</v>
      </c>
      <c r="AE65" s="239">
        <f>'расчет цен и скидок'!AE65</f>
        <v>1960.3525641025642</v>
      </c>
      <c r="AF65" s="228">
        <f>'расчет цен и скидок'!AF65</f>
        <v>2313.2160256410257</v>
      </c>
      <c r="AG65" s="239">
        <f>'расчет цен и скидок'!AG65</f>
        <v>718.3525641025642</v>
      </c>
      <c r="AH65" s="228">
        <f>'расчет цен и скидок'!AH65</f>
        <v>1490</v>
      </c>
      <c r="AI65" s="239">
        <f>'расчет цен и скидок'!AI65</f>
        <v>2316.105448717949</v>
      </c>
      <c r="AJ65" s="229">
        <f>'расчет цен и скидок'!AJ65</f>
        <v>0.1996779388083736</v>
      </c>
      <c r="AK65" s="227">
        <f>'расчет цен и скидок'!AK65</f>
        <v>0</v>
      </c>
      <c r="AL65" s="228">
        <f>'расчет цен и скидок'!AL65</f>
        <v>1785</v>
      </c>
      <c r="AM65" s="228">
        <f>'расчет цен и скидок'!AM65</f>
        <v>2140</v>
      </c>
      <c r="AN65" s="242">
        <f>'расчет цен и скидок'!AN65</f>
        <v>0.19887955182072828</v>
      </c>
      <c r="AO65" s="227">
        <f>'расчет цен и скидок'!AO65</f>
        <v>0</v>
      </c>
      <c r="AP65" s="228">
        <f>'расчет цен и скидок'!AP65</f>
        <v>2100</v>
      </c>
      <c r="AQ65" s="228">
        <f>'расчет цен и скидок'!AQ65</f>
        <v>0</v>
      </c>
      <c r="AR65" s="242">
        <f>'расчет цен и скидок'!AR65</f>
        <v>-1</v>
      </c>
      <c r="AS65" s="227">
        <f>'расчет цен и скидок'!AS65</f>
        <v>0</v>
      </c>
      <c r="AT65" s="228">
        <f>'расчет цен и скидок'!AT65</f>
        <v>3177.9661016949153</v>
      </c>
      <c r="AU65" s="228">
        <f>'расчет цен и скидок'!AU65</f>
        <v>0</v>
      </c>
      <c r="AV65" s="242">
        <f>'расчет цен и скидок'!AV65</f>
        <v>-1</v>
      </c>
      <c r="AW65" s="227">
        <f>'расчет цен и скидок'!AW65</f>
        <v>0</v>
      </c>
      <c r="AX65" s="228">
        <f>'расчет цен и скидок'!AX65</f>
        <v>2500</v>
      </c>
      <c r="AY65" s="230">
        <f>'расчет цен и скидок'!AY65</f>
        <v>0</v>
      </c>
      <c r="AZ65" s="227">
        <f>'расчет цен и скидок'!AZ65</f>
        <v>0</v>
      </c>
      <c r="BA65" s="228">
        <f>'расчет цен и скидок'!BA65</f>
        <v>0</v>
      </c>
      <c r="BB65" s="230">
        <f>'расчет цен и скидок'!BB65</f>
        <v>0</v>
      </c>
      <c r="BC65" s="227">
        <f>'расчет цен и скидок'!BC65</f>
        <v>0</v>
      </c>
      <c r="BD65" s="230">
        <f>'расчет цен и скидок'!BD65</f>
        <v>0</v>
      </c>
      <c r="BE65" s="230">
        <f>'расчет цен и скидок'!BE65</f>
        <v>0</v>
      </c>
      <c r="BF65" s="218">
        <f>'расчет цен и скидок'!BF65</f>
        <v>0</v>
      </c>
      <c r="BG65" s="228">
        <f>'расчет цен и скидок'!BG65</f>
        <v>0</v>
      </c>
      <c r="BH65" s="230">
        <f>'расчет цен и скидок'!BH65</f>
        <v>0</v>
      </c>
      <c r="BI65" s="227">
        <f>'расчет цен и скидок'!BI65</f>
        <v>0</v>
      </c>
      <c r="BJ65" s="228">
        <f>'расчет цен и скидок'!BJ65</f>
        <v>0</v>
      </c>
      <c r="BK65" s="230">
        <f>'расчет цен и скидок'!BK65</f>
        <v>0</v>
      </c>
      <c r="BL65" s="230">
        <f>'расчет цен и скидок'!BL65</f>
        <v>0</v>
      </c>
      <c r="BM65" s="230">
        <f>'расчет цен и скидок'!BM65</f>
        <v>0</v>
      </c>
      <c r="BN65" s="230">
        <f>'расчет цен и скидок'!BN65</f>
        <v>0</v>
      </c>
      <c r="BO65" s="230">
        <f>'расчет цен и скидок'!BO65</f>
        <v>0</v>
      </c>
      <c r="BP65" s="230">
        <f>'расчет цен и скидок'!BP65</f>
        <v>0</v>
      </c>
      <c r="BQ65" s="230">
        <f>'расчет цен и скидок'!BQ65</f>
        <v>0</v>
      </c>
      <c r="BR65" s="230">
        <f>'расчет цен и скидок'!BR65</f>
        <v>0</v>
      </c>
      <c r="BS65" s="230">
        <f>'расчет цен и скидок'!BS65</f>
        <v>0</v>
      </c>
      <c r="BT65" s="230">
        <f>'расчет цен и скидок'!BT65</f>
        <v>0</v>
      </c>
      <c r="BU65" s="230">
        <f>'расчет цен и скидок'!BU65</f>
        <v>0</v>
      </c>
      <c r="BV65" s="230">
        <f>'расчет цен и скидок'!BV65</f>
        <v>0</v>
      </c>
      <c r="BW65" s="230">
        <f>'расчет цен и скидок'!BW65</f>
        <v>0</v>
      </c>
      <c r="BX65" s="230">
        <f>'расчет цен и скидок'!BX65</f>
        <v>0</v>
      </c>
      <c r="BY65" s="230">
        <f>'расчет цен и скидок'!BY65</f>
        <v>0</v>
      </c>
      <c r="BZ65" s="230">
        <f>'расчет цен и скидок'!BZ65</f>
        <v>0</v>
      </c>
      <c r="CA65" s="230">
        <f>'расчет цен и скидок'!CA65</f>
        <v>0</v>
      </c>
      <c r="CB65" s="230">
        <f>'расчет цен и скидок'!CB65</f>
        <v>0</v>
      </c>
      <c r="CC65" s="230">
        <f>'расчет цен и скидок'!CC65</f>
        <v>0</v>
      </c>
      <c r="CD65" s="230">
        <f>'расчет цен и скидок'!CD65</f>
        <v>0</v>
      </c>
      <c r="CE65" s="230">
        <f>'расчет цен и скидок'!CE65</f>
        <v>0</v>
      </c>
      <c r="CF65" s="230">
        <f>'расчет цен и скидок'!CF65</f>
        <v>0</v>
      </c>
      <c r="CG65" s="230">
        <f>'расчет цен и скидок'!CG65</f>
        <v>0</v>
      </c>
      <c r="CH65" s="230">
        <f>'расчет цен и скидок'!CH65</f>
        <v>0</v>
      </c>
      <c r="CI65" s="230">
        <f>'расчет цен и скидок'!CI65</f>
        <v>0</v>
      </c>
      <c r="CJ65" s="230">
        <f>'расчет цен и скидок'!CJ65</f>
        <v>0</v>
      </c>
      <c r="CK65" s="230">
        <f>'расчет цен и скидок'!CK65</f>
        <v>0</v>
      </c>
      <c r="CL65" s="230">
        <f>'расчет цен и скидок'!CL65</f>
        <v>0</v>
      </c>
      <c r="CM65" s="230">
        <f>'расчет цен и скидок'!CM65</f>
        <v>0</v>
      </c>
      <c r="CN65" s="230">
        <f>'расчет цен и скидок'!CN65</f>
        <v>0</v>
      </c>
    </row>
  </sheetData>
  <sheetProtection/>
  <printOptions gridLines="1"/>
  <pageMargins left="0.3937007874015748" right="0.3937007874015748" top="0.3937007874015748" bottom="0.3937007874015748" header="0.5118110236220472" footer="0.1181102362204724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77.75390625" style="0" customWidth="1"/>
  </cols>
  <sheetData>
    <row r="1" spans="1:7" ht="66.75" customHeight="1">
      <c r="A1" s="488" t="s">
        <v>210</v>
      </c>
      <c r="B1" s="488"/>
      <c r="C1" s="488"/>
      <c r="D1" s="488"/>
      <c r="E1" s="488"/>
      <c r="F1" s="488"/>
      <c r="G1" s="488"/>
    </row>
    <row r="2" spans="1:7" ht="14.25">
      <c r="A2" s="488" t="s">
        <v>211</v>
      </c>
      <c r="B2" s="488"/>
      <c r="C2" s="488"/>
      <c r="D2" s="488"/>
      <c r="E2" s="488"/>
      <c r="F2" s="488"/>
      <c r="G2" s="488"/>
    </row>
    <row r="3" spans="1:7" ht="14.25">
      <c r="A3" s="488" t="s">
        <v>212</v>
      </c>
      <c r="B3" s="488"/>
      <c r="C3" s="488"/>
      <c r="D3" s="488"/>
      <c r="E3" s="488"/>
      <c r="F3" s="488"/>
      <c r="G3" s="488"/>
    </row>
    <row r="4" spans="1:7" ht="14.25">
      <c r="A4" s="488" t="s">
        <v>213</v>
      </c>
      <c r="B4" s="488"/>
      <c r="C4" s="488"/>
      <c r="D4" s="488"/>
      <c r="E4" s="488"/>
      <c r="F4" s="488"/>
      <c r="G4" s="488"/>
    </row>
    <row r="5" spans="1:7" ht="14.25">
      <c r="A5" s="489" t="s">
        <v>214</v>
      </c>
      <c r="B5" s="489"/>
      <c r="C5" s="489"/>
      <c r="D5" s="489"/>
      <c r="E5" s="489"/>
      <c r="F5" s="489"/>
      <c r="G5" s="489"/>
    </row>
    <row r="6" spans="1:7" ht="42.75" customHeight="1">
      <c r="A6" s="489" t="s">
        <v>215</v>
      </c>
      <c r="B6" s="489"/>
      <c r="C6" s="489"/>
      <c r="D6" s="489"/>
      <c r="E6" s="489"/>
      <c r="F6" s="489"/>
      <c r="G6" s="489"/>
    </row>
    <row r="7" spans="1:7" ht="42.75" customHeight="1">
      <c r="A7" s="489" t="s">
        <v>216</v>
      </c>
      <c r="B7" s="489"/>
      <c r="C7" s="489"/>
      <c r="D7" s="489"/>
      <c r="E7" s="489"/>
      <c r="F7" s="489"/>
      <c r="G7" s="489"/>
    </row>
    <row r="8" spans="1:7" ht="45.75" customHeight="1">
      <c r="A8" s="489" t="s">
        <v>217</v>
      </c>
      <c r="B8" s="489"/>
      <c r="C8" s="489"/>
      <c r="D8" s="489"/>
      <c r="E8" s="489"/>
      <c r="F8" s="489"/>
      <c r="G8" s="489"/>
    </row>
    <row r="9" spans="1:7" ht="45.75" customHeight="1">
      <c r="A9" s="489" t="s">
        <v>218</v>
      </c>
      <c r="B9" s="489"/>
      <c r="C9" s="489"/>
      <c r="D9" s="489"/>
      <c r="E9" s="489"/>
      <c r="F9" s="489"/>
      <c r="G9" s="489"/>
    </row>
    <row r="10" spans="1:7" ht="45.75" customHeight="1">
      <c r="A10" s="489" t="s">
        <v>219</v>
      </c>
      <c r="B10" s="489"/>
      <c r="C10" s="489"/>
      <c r="D10" s="489"/>
      <c r="E10" s="489"/>
      <c r="F10" s="489"/>
      <c r="G10" s="489"/>
    </row>
    <row r="11" spans="3:7" ht="12.75">
      <c r="C11" s="19"/>
      <c r="G11" s="19"/>
    </row>
  </sheetData>
  <sheetProtection/>
  <mergeCells count="10">
    <mergeCell ref="A1:G1"/>
    <mergeCell ref="A2:G2"/>
    <mergeCell ref="A3:G3"/>
    <mergeCell ref="A4:G4"/>
    <mergeCell ref="A10:G10"/>
    <mergeCell ref="A5:G5"/>
    <mergeCell ref="A6:G6"/>
    <mergeCell ref="A7:G7"/>
    <mergeCell ref="A8:G8"/>
    <mergeCell ref="A9:G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zoomScalePageLayoutView="0" workbookViewId="0" topLeftCell="A79">
      <selection activeCell="D79" sqref="D79:D80"/>
    </sheetView>
  </sheetViews>
  <sheetFormatPr defaultColWidth="9.00390625" defaultRowHeight="12.75" outlineLevelRow="1"/>
  <cols>
    <col min="1" max="1" width="4.75390625" style="0" customWidth="1"/>
    <col min="2" max="2" width="67.125" style="0" customWidth="1"/>
    <col min="3" max="3" width="17.25390625" style="0" customWidth="1"/>
    <col min="4" max="4" width="29.00390625" style="19" customWidth="1"/>
    <col min="5" max="5" width="17.375" style="0" customWidth="1"/>
    <col min="6" max="7" width="17.375" style="0" hidden="1" customWidth="1"/>
    <col min="8" max="8" width="36.625" style="19" customWidth="1"/>
  </cols>
  <sheetData>
    <row r="1" spans="1:21" ht="23.25" customHeight="1">
      <c r="A1" s="490" t="s">
        <v>200</v>
      </c>
      <c r="B1" s="490"/>
      <c r="C1" s="490"/>
      <c r="D1" s="490"/>
      <c r="E1" s="490"/>
      <c r="F1" s="490"/>
      <c r="G1" s="490"/>
      <c r="H1" s="490"/>
      <c r="P1" s="4"/>
      <c r="Q1" s="4"/>
      <c r="R1" s="4"/>
      <c r="S1" s="4"/>
      <c r="T1" s="4"/>
      <c r="U1" s="4"/>
    </row>
    <row r="2" spans="1:8" ht="125.25" customHeight="1">
      <c r="A2" s="491"/>
      <c r="B2" s="491"/>
      <c r="C2" s="491"/>
      <c r="D2" s="491"/>
      <c r="E2" s="491"/>
      <c r="F2" s="491"/>
      <c r="G2" s="491"/>
      <c r="H2" s="491"/>
    </row>
    <row r="3" spans="1:8" ht="3" customHeight="1">
      <c r="A3" s="31"/>
      <c r="B3" s="31"/>
      <c r="C3" s="43"/>
      <c r="D3" s="43"/>
      <c r="E3" s="43"/>
      <c r="F3" s="43"/>
      <c r="G3" s="43"/>
      <c r="H3" s="43"/>
    </row>
    <row r="4" spans="1:8" s="41" customFormat="1" ht="18">
      <c r="A4" s="62"/>
      <c r="B4" s="63" t="s">
        <v>145</v>
      </c>
      <c r="C4" s="62"/>
      <c r="D4" s="64"/>
      <c r="E4" s="492" t="s">
        <v>229</v>
      </c>
      <c r="F4" s="492"/>
      <c r="G4" s="492"/>
      <c r="H4" s="492"/>
    </row>
    <row r="5" spans="1:8" s="41" customFormat="1" ht="18">
      <c r="A5" s="62"/>
      <c r="B5" s="67" t="s">
        <v>146</v>
      </c>
      <c r="C5" s="62"/>
      <c r="D5" s="64"/>
      <c r="E5" s="492"/>
      <c r="F5" s="492"/>
      <c r="G5" s="492"/>
      <c r="H5" s="492"/>
    </row>
    <row r="6" spans="1:8" s="41" customFormat="1" ht="18">
      <c r="A6" s="62"/>
      <c r="B6" s="63" t="s">
        <v>147</v>
      </c>
      <c r="C6" s="62"/>
      <c r="D6" s="64"/>
      <c r="E6" s="492"/>
      <c r="F6" s="492"/>
      <c r="G6" s="492"/>
      <c r="H6" s="492"/>
    </row>
    <row r="7" spans="1:8" s="41" customFormat="1" ht="9.75" customHeight="1">
      <c r="A7" s="62"/>
      <c r="B7" s="66"/>
      <c r="C7" s="62"/>
      <c r="D7" s="64"/>
      <c r="E7" s="67"/>
      <c r="F7" s="65"/>
      <c r="G7" s="65"/>
      <c r="H7" s="65"/>
    </row>
    <row r="8" spans="1:8" s="41" customFormat="1" ht="18">
      <c r="A8" s="62"/>
      <c r="B8" s="67" t="s">
        <v>148</v>
      </c>
      <c r="C8" s="62"/>
      <c r="D8" s="64"/>
      <c r="E8" s="64"/>
      <c r="F8" s="65"/>
      <c r="G8" s="65"/>
      <c r="H8" s="65"/>
    </row>
    <row r="9" spans="1:8" s="41" customFormat="1" ht="18">
      <c r="A9" s="62"/>
      <c r="B9" s="67" t="s">
        <v>149</v>
      </c>
      <c r="C9" s="62"/>
      <c r="D9" s="64"/>
      <c r="E9" s="493" t="s">
        <v>159</v>
      </c>
      <c r="F9" s="493"/>
      <c r="G9" s="493"/>
      <c r="H9" s="493"/>
    </row>
    <row r="10" spans="1:8" s="41" customFormat="1" ht="18">
      <c r="A10" s="62"/>
      <c r="B10" s="67" t="s">
        <v>150</v>
      </c>
      <c r="C10" s="62"/>
      <c r="D10" s="64"/>
      <c r="E10" s="493" t="s">
        <v>152</v>
      </c>
      <c r="F10" s="493"/>
      <c r="G10" s="493"/>
      <c r="H10" s="493"/>
    </row>
    <row r="11" spans="1:8" s="41" customFormat="1" ht="18">
      <c r="A11" s="62"/>
      <c r="B11" s="67" t="s">
        <v>151</v>
      </c>
      <c r="C11" s="62"/>
      <c r="D11" s="68"/>
      <c r="E11" s="494" t="s">
        <v>153</v>
      </c>
      <c r="F11" s="494"/>
      <c r="G11" s="494"/>
      <c r="H11" s="494"/>
    </row>
    <row r="12" spans="1:8" s="41" customFormat="1" ht="18">
      <c r="A12" s="62"/>
      <c r="B12" s="67" t="s">
        <v>259</v>
      </c>
      <c r="C12" s="62"/>
      <c r="D12" s="68"/>
      <c r="E12" s="349" t="s">
        <v>342</v>
      </c>
      <c r="F12" s="349"/>
      <c r="G12" s="349"/>
      <c r="H12" s="349"/>
    </row>
    <row r="13" spans="1:8" s="41" customFormat="1" ht="18.75" customHeight="1" thickBot="1">
      <c r="A13" s="62"/>
      <c r="B13" s="66"/>
      <c r="C13" s="62"/>
      <c r="D13" s="69"/>
      <c r="E13" s="495" t="s">
        <v>391</v>
      </c>
      <c r="F13" s="494"/>
      <c r="G13" s="494"/>
      <c r="H13" s="494"/>
    </row>
    <row r="14" spans="1:8" ht="15" customHeight="1" thickBot="1" thickTop="1">
      <c r="A14" s="35"/>
      <c r="B14" s="32"/>
      <c r="C14" s="35"/>
      <c r="D14" s="33"/>
      <c r="E14" s="33"/>
      <c r="F14" s="34"/>
      <c r="G14" s="34"/>
      <c r="H14" s="34"/>
    </row>
    <row r="15" spans="1:8" s="42" customFormat="1" ht="63" customHeight="1" thickBot="1" thickTop="1">
      <c r="A15" s="504" t="s">
        <v>112</v>
      </c>
      <c r="B15" s="506" t="s">
        <v>198</v>
      </c>
      <c r="C15" s="507"/>
      <c r="D15" s="508"/>
      <c r="E15" s="508"/>
      <c r="F15" s="508"/>
      <c r="G15" s="508"/>
      <c r="H15" s="509"/>
    </row>
    <row r="16" spans="1:8" s="42" customFormat="1" ht="24" customHeight="1" thickBot="1" thickTop="1">
      <c r="A16" s="505"/>
      <c r="B16" s="496" t="s">
        <v>197</v>
      </c>
      <c r="C16" s="497"/>
      <c r="D16" s="497"/>
      <c r="E16" s="497"/>
      <c r="F16" s="497"/>
      <c r="G16" s="497"/>
      <c r="H16" s="498"/>
    </row>
    <row r="17" spans="1:8" ht="9.75" customHeight="1" thickTop="1">
      <c r="A17" s="500"/>
      <c r="B17" s="500"/>
      <c r="C17" s="500"/>
      <c r="D17" s="500"/>
      <c r="E17" s="500"/>
      <c r="F17" s="500"/>
      <c r="G17" s="500"/>
      <c r="H17" s="500"/>
    </row>
    <row r="18" spans="1:8" ht="51" customHeight="1" thickBot="1">
      <c r="A18" s="501" t="s">
        <v>341</v>
      </c>
      <c r="B18" s="502"/>
      <c r="C18" s="502"/>
      <c r="D18" s="502"/>
      <c r="E18" s="502"/>
      <c r="F18" s="502"/>
      <c r="G18" s="502"/>
      <c r="H18" s="503"/>
    </row>
    <row r="19" spans="1:8" ht="9.75" customHeight="1" thickBot="1" thickTop="1">
      <c r="A19" s="499"/>
      <c r="B19" s="499"/>
      <c r="C19" s="499"/>
      <c r="D19" s="499"/>
      <c r="E19" s="499"/>
      <c r="F19" s="499"/>
      <c r="G19" s="499"/>
      <c r="H19" s="499"/>
    </row>
    <row r="20" spans="1:8" s="42" customFormat="1" ht="114.75" customHeight="1" thickBot="1" thickTop="1">
      <c r="A20" s="44" t="s">
        <v>113</v>
      </c>
      <c r="B20" s="45" t="s">
        <v>195</v>
      </c>
      <c r="C20" s="44" t="s">
        <v>196</v>
      </c>
      <c r="D20" s="46" t="s">
        <v>114</v>
      </c>
      <c r="E20" s="46" t="s">
        <v>164</v>
      </c>
      <c r="F20" s="47"/>
      <c r="G20" s="47"/>
      <c r="H20" s="48" t="s">
        <v>160</v>
      </c>
    </row>
    <row r="21" spans="1:8" s="42" customFormat="1" ht="15.75" collapsed="1" thickTop="1">
      <c r="A21" s="485" t="s">
        <v>182</v>
      </c>
      <c r="B21" s="486"/>
      <c r="C21" s="486"/>
      <c r="D21" s="486"/>
      <c r="E21" s="486"/>
      <c r="F21" s="486"/>
      <c r="G21" s="486"/>
      <c r="H21" s="487"/>
    </row>
    <row r="22" spans="1:8" s="42" customFormat="1" ht="37.5" customHeight="1" outlineLevel="1">
      <c r="A22" s="49">
        <v>1</v>
      </c>
      <c r="B22" s="50" t="s">
        <v>179</v>
      </c>
      <c r="C22" s="51" t="s">
        <v>115</v>
      </c>
      <c r="D22" s="51" t="s">
        <v>255</v>
      </c>
      <c r="E22" s="51">
        <v>4500</v>
      </c>
      <c r="F22" s="52"/>
      <c r="G22" s="52"/>
      <c r="H22" s="53" t="s">
        <v>126</v>
      </c>
    </row>
    <row r="23" spans="1:8" s="42" customFormat="1" ht="39" customHeight="1" outlineLevel="1">
      <c r="A23" s="49">
        <f>A22+1</f>
        <v>2</v>
      </c>
      <c r="B23" s="50" t="s">
        <v>179</v>
      </c>
      <c r="C23" s="51" t="s">
        <v>116</v>
      </c>
      <c r="D23" s="51" t="s">
        <v>255</v>
      </c>
      <c r="E23" s="51">
        <v>4500</v>
      </c>
      <c r="F23" s="52"/>
      <c r="G23" s="52"/>
      <c r="H23" s="53" t="s">
        <v>126</v>
      </c>
    </row>
    <row r="24" spans="1:8" s="42" customFormat="1" ht="33" customHeight="1" outlineLevel="1">
      <c r="A24" s="49">
        <f>A23+1</f>
        <v>3</v>
      </c>
      <c r="B24" s="50" t="s">
        <v>180</v>
      </c>
      <c r="C24" s="51" t="s">
        <v>117</v>
      </c>
      <c r="D24" s="51" t="s">
        <v>255</v>
      </c>
      <c r="E24" s="51">
        <v>5750</v>
      </c>
      <c r="F24" s="52"/>
      <c r="G24" s="52"/>
      <c r="H24" s="53" t="s">
        <v>126</v>
      </c>
    </row>
    <row r="25" spans="1:8" s="42" customFormat="1" ht="33.75" customHeight="1" outlineLevel="1">
      <c r="A25" s="49">
        <f>A24+1</f>
        <v>4</v>
      </c>
      <c r="B25" s="50" t="s">
        <v>180</v>
      </c>
      <c r="C25" s="51" t="s">
        <v>118</v>
      </c>
      <c r="D25" s="51" t="s">
        <v>254</v>
      </c>
      <c r="E25" s="51">
        <v>5750</v>
      </c>
      <c r="F25" s="52"/>
      <c r="G25" s="52"/>
      <c r="H25" s="53" t="s">
        <v>126</v>
      </c>
    </row>
    <row r="26" spans="1:8" s="42" customFormat="1" ht="33" customHeight="1" outlineLevel="1">
      <c r="A26" s="49">
        <f>A25+1</f>
        <v>5</v>
      </c>
      <c r="B26" s="50" t="s">
        <v>181</v>
      </c>
      <c r="C26" s="51" t="s">
        <v>119</v>
      </c>
      <c r="D26" s="51" t="s">
        <v>255</v>
      </c>
      <c r="E26" s="51">
        <v>5750</v>
      </c>
      <c r="F26" s="52"/>
      <c r="G26" s="52"/>
      <c r="H26" s="53" t="s">
        <v>126</v>
      </c>
    </row>
    <row r="27" spans="1:8" s="42" customFormat="1" ht="36.75" customHeight="1" outlineLevel="1">
      <c r="A27" s="49">
        <f>A26+1</f>
        <v>6</v>
      </c>
      <c r="B27" s="50" t="s">
        <v>181</v>
      </c>
      <c r="C27" s="51" t="s">
        <v>120</v>
      </c>
      <c r="D27" s="51" t="s">
        <v>255</v>
      </c>
      <c r="E27" s="51">
        <v>5750</v>
      </c>
      <c r="F27" s="52"/>
      <c r="G27" s="52"/>
      <c r="H27" s="53" t="s">
        <v>126</v>
      </c>
    </row>
    <row r="28" spans="1:8" s="42" customFormat="1" ht="33" customHeight="1" outlineLevel="1">
      <c r="A28" s="49">
        <v>7</v>
      </c>
      <c r="B28" s="50" t="s">
        <v>233</v>
      </c>
      <c r="C28" s="51" t="s">
        <v>235</v>
      </c>
      <c r="D28" s="51" t="s">
        <v>234</v>
      </c>
      <c r="E28" s="51" t="s">
        <v>166</v>
      </c>
      <c r="F28" s="52"/>
      <c r="G28" s="52"/>
      <c r="H28" s="53" t="s">
        <v>126</v>
      </c>
    </row>
    <row r="29" spans="1:8" s="42" customFormat="1" ht="33" customHeight="1" outlineLevel="1">
      <c r="A29" s="49">
        <v>8</v>
      </c>
      <c r="B29" s="50" t="s">
        <v>233</v>
      </c>
      <c r="C29" s="51" t="s">
        <v>232</v>
      </c>
      <c r="D29" s="51" t="s">
        <v>234</v>
      </c>
      <c r="E29" s="51" t="s">
        <v>166</v>
      </c>
      <c r="F29" s="52"/>
      <c r="G29" s="52"/>
      <c r="H29" s="53" t="s">
        <v>126</v>
      </c>
    </row>
    <row r="30" spans="1:8" s="42" customFormat="1" ht="15">
      <c r="A30" s="510" t="s">
        <v>121</v>
      </c>
      <c r="B30" s="511"/>
      <c r="C30" s="511"/>
      <c r="D30" s="511"/>
      <c r="E30" s="511"/>
      <c r="F30" s="512"/>
      <c r="G30" s="512"/>
      <c r="H30" s="513"/>
    </row>
    <row r="31" spans="1:8" s="42" customFormat="1" ht="34.5" customHeight="1" outlineLevel="1">
      <c r="A31" s="54">
        <v>1</v>
      </c>
      <c r="B31" s="55" t="s">
        <v>157</v>
      </c>
      <c r="C31" s="70" t="s">
        <v>156</v>
      </c>
      <c r="D31" s="56" t="s">
        <v>122</v>
      </c>
      <c r="E31" s="56">
        <v>3700</v>
      </c>
      <c r="F31" s="57"/>
      <c r="G31" s="57"/>
      <c r="H31" s="58" t="s">
        <v>161</v>
      </c>
    </row>
    <row r="32" spans="1:8" s="42" customFormat="1" ht="33" customHeight="1" outlineLevel="1">
      <c r="A32" s="54">
        <f>A31+1</f>
        <v>2</v>
      </c>
      <c r="B32" s="55" t="s">
        <v>157</v>
      </c>
      <c r="C32" s="70" t="s">
        <v>156</v>
      </c>
      <c r="D32" s="56" t="s">
        <v>122</v>
      </c>
      <c r="E32" s="56">
        <v>4300</v>
      </c>
      <c r="F32" s="57"/>
      <c r="G32" s="57"/>
      <c r="H32" s="58" t="s">
        <v>162</v>
      </c>
    </row>
    <row r="33" spans="1:8" s="42" customFormat="1" ht="47.25" customHeight="1" outlineLevel="1">
      <c r="A33" s="514">
        <f>A32+1</f>
        <v>3</v>
      </c>
      <c r="B33" s="440" t="s">
        <v>384</v>
      </c>
      <c r="C33" s="516" t="s">
        <v>65</v>
      </c>
      <c r="D33" s="516" t="s">
        <v>123</v>
      </c>
      <c r="E33" s="516">
        <v>3700</v>
      </c>
      <c r="F33" s="57"/>
      <c r="G33" s="57"/>
      <c r="H33" s="518" t="s">
        <v>163</v>
      </c>
    </row>
    <row r="34" spans="1:8" s="42" customFormat="1" ht="38.25" outlineLevel="1">
      <c r="A34" s="515"/>
      <c r="B34" s="441" t="s">
        <v>385</v>
      </c>
      <c r="C34" s="517"/>
      <c r="D34" s="517"/>
      <c r="E34" s="517"/>
      <c r="F34" s="57"/>
      <c r="G34" s="57"/>
      <c r="H34" s="519"/>
    </row>
    <row r="35" spans="1:8" s="42" customFormat="1" ht="47.25" customHeight="1" outlineLevel="1">
      <c r="A35" s="514">
        <f>A33+1</f>
        <v>4</v>
      </c>
      <c r="B35" s="440" t="s">
        <v>384</v>
      </c>
      <c r="C35" s="516" t="s">
        <v>65</v>
      </c>
      <c r="D35" s="516" t="s">
        <v>123</v>
      </c>
      <c r="E35" s="516">
        <v>4250</v>
      </c>
      <c r="F35" s="57"/>
      <c r="G35" s="57"/>
      <c r="H35" s="518" t="s">
        <v>165</v>
      </c>
    </row>
    <row r="36" spans="1:8" s="42" customFormat="1" ht="38.25" outlineLevel="1">
      <c r="A36" s="515"/>
      <c r="B36" s="441" t="s">
        <v>385</v>
      </c>
      <c r="C36" s="517"/>
      <c r="D36" s="517"/>
      <c r="E36" s="517"/>
      <c r="F36" s="57"/>
      <c r="G36" s="57"/>
      <c r="H36" s="519"/>
    </row>
    <row r="37" spans="1:8" s="42" customFormat="1" ht="47.25" customHeight="1" outlineLevel="1">
      <c r="A37" s="514">
        <f>A35+1</f>
        <v>5</v>
      </c>
      <c r="B37" s="440" t="s">
        <v>386</v>
      </c>
      <c r="C37" s="516" t="s">
        <v>158</v>
      </c>
      <c r="D37" s="516" t="s">
        <v>123</v>
      </c>
      <c r="E37" s="516" t="s">
        <v>166</v>
      </c>
      <c r="F37" s="57"/>
      <c r="G37" s="57"/>
      <c r="H37" s="518" t="s">
        <v>163</v>
      </c>
    </row>
    <row r="38" spans="1:8" s="42" customFormat="1" ht="38.25" outlineLevel="1">
      <c r="A38" s="515"/>
      <c r="B38" s="441" t="s">
        <v>385</v>
      </c>
      <c r="C38" s="517"/>
      <c r="D38" s="517"/>
      <c r="E38" s="517"/>
      <c r="F38" s="57"/>
      <c r="G38" s="57"/>
      <c r="H38" s="519"/>
    </row>
    <row r="39" spans="1:8" s="42" customFormat="1" ht="47.25" customHeight="1" outlineLevel="1">
      <c r="A39" s="514">
        <f>A37+1</f>
        <v>6</v>
      </c>
      <c r="B39" s="440" t="s">
        <v>199</v>
      </c>
      <c r="C39" s="516" t="s">
        <v>167</v>
      </c>
      <c r="D39" s="516" t="s">
        <v>124</v>
      </c>
      <c r="E39" s="516">
        <v>2950</v>
      </c>
      <c r="F39" s="57"/>
      <c r="G39" s="57"/>
      <c r="H39" s="518" t="s">
        <v>163</v>
      </c>
    </row>
    <row r="40" spans="1:8" s="42" customFormat="1" ht="38.25" outlineLevel="1">
      <c r="A40" s="515"/>
      <c r="B40" s="441" t="s">
        <v>387</v>
      </c>
      <c r="C40" s="517"/>
      <c r="D40" s="517"/>
      <c r="E40" s="517"/>
      <c r="F40" s="57"/>
      <c r="G40" s="57"/>
      <c r="H40" s="519"/>
    </row>
    <row r="41" spans="1:8" s="42" customFormat="1" ht="47.25" customHeight="1" outlineLevel="1">
      <c r="A41" s="514">
        <f>A39+1</f>
        <v>7</v>
      </c>
      <c r="B41" s="440" t="s">
        <v>199</v>
      </c>
      <c r="C41" s="516" t="s">
        <v>168</v>
      </c>
      <c r="D41" s="516" t="s">
        <v>124</v>
      </c>
      <c r="E41" s="516">
        <v>2650</v>
      </c>
      <c r="F41" s="57"/>
      <c r="G41" s="57"/>
      <c r="H41" s="518" t="s">
        <v>163</v>
      </c>
    </row>
    <row r="42" spans="1:8" s="42" customFormat="1" ht="38.25" outlineLevel="1">
      <c r="A42" s="515"/>
      <c r="B42" s="441" t="s">
        <v>387</v>
      </c>
      <c r="C42" s="517"/>
      <c r="D42" s="517"/>
      <c r="E42" s="517"/>
      <c r="F42" s="57"/>
      <c r="G42" s="57"/>
      <c r="H42" s="519"/>
    </row>
    <row r="43" spans="1:8" s="42" customFormat="1" ht="47.25" customHeight="1" outlineLevel="1">
      <c r="A43" s="514">
        <f>A41+1</f>
        <v>8</v>
      </c>
      <c r="B43" s="440" t="s">
        <v>199</v>
      </c>
      <c r="C43" s="516" t="s">
        <v>168</v>
      </c>
      <c r="D43" s="516" t="s">
        <v>124</v>
      </c>
      <c r="E43" s="516">
        <v>3250</v>
      </c>
      <c r="F43" s="57"/>
      <c r="G43" s="57"/>
      <c r="H43" s="518" t="s">
        <v>162</v>
      </c>
    </row>
    <row r="44" spans="1:8" s="42" customFormat="1" ht="38.25" outlineLevel="1">
      <c r="A44" s="515"/>
      <c r="B44" s="441" t="s">
        <v>387</v>
      </c>
      <c r="C44" s="517"/>
      <c r="D44" s="517"/>
      <c r="E44" s="517"/>
      <c r="F44" s="57"/>
      <c r="G44" s="57"/>
      <c r="H44" s="519"/>
    </row>
    <row r="45" spans="1:8" s="42" customFormat="1" ht="47.25" customHeight="1" outlineLevel="1">
      <c r="A45" s="514">
        <f>A43+1</f>
        <v>9</v>
      </c>
      <c r="B45" s="440" t="s">
        <v>199</v>
      </c>
      <c r="C45" s="516" t="s">
        <v>168</v>
      </c>
      <c r="D45" s="516" t="s">
        <v>124</v>
      </c>
      <c r="E45" s="516">
        <v>2550</v>
      </c>
      <c r="F45" s="57"/>
      <c r="G45" s="57"/>
      <c r="H45" s="518" t="s">
        <v>72</v>
      </c>
    </row>
    <row r="46" spans="1:8" s="42" customFormat="1" ht="38.25" outlineLevel="1">
      <c r="A46" s="515"/>
      <c r="B46" s="441" t="s">
        <v>387</v>
      </c>
      <c r="C46" s="517"/>
      <c r="D46" s="517"/>
      <c r="E46" s="517"/>
      <c r="F46" s="57"/>
      <c r="G46" s="57"/>
      <c r="H46" s="519"/>
    </row>
    <row r="47" spans="1:8" s="42" customFormat="1" ht="47.25" customHeight="1" outlineLevel="1">
      <c r="A47" s="514">
        <f>A45+1</f>
        <v>10</v>
      </c>
      <c r="B47" s="440" t="s">
        <v>199</v>
      </c>
      <c r="C47" s="516" t="s">
        <v>169</v>
      </c>
      <c r="D47" s="516" t="s">
        <v>124</v>
      </c>
      <c r="E47" s="516">
        <v>2650</v>
      </c>
      <c r="F47" s="57"/>
      <c r="G47" s="57"/>
      <c r="H47" s="518" t="s">
        <v>163</v>
      </c>
    </row>
    <row r="48" spans="1:8" s="42" customFormat="1" ht="38.25" outlineLevel="1">
      <c r="A48" s="515"/>
      <c r="B48" s="441" t="s">
        <v>387</v>
      </c>
      <c r="C48" s="517"/>
      <c r="D48" s="517"/>
      <c r="E48" s="517"/>
      <c r="F48" s="57"/>
      <c r="G48" s="57"/>
      <c r="H48" s="519"/>
    </row>
    <row r="49" spans="1:8" s="42" customFormat="1" ht="47.25" customHeight="1" outlineLevel="1">
      <c r="A49" s="514">
        <f>A47+1</f>
        <v>11</v>
      </c>
      <c r="B49" s="440" t="s">
        <v>199</v>
      </c>
      <c r="C49" s="516" t="s">
        <v>169</v>
      </c>
      <c r="D49" s="516" t="s">
        <v>124</v>
      </c>
      <c r="E49" s="516">
        <v>3250</v>
      </c>
      <c r="F49" s="57"/>
      <c r="G49" s="57"/>
      <c r="H49" s="518" t="s">
        <v>162</v>
      </c>
    </row>
    <row r="50" spans="1:8" s="42" customFormat="1" ht="38.25" outlineLevel="1">
      <c r="A50" s="515"/>
      <c r="B50" s="441" t="s">
        <v>387</v>
      </c>
      <c r="C50" s="517"/>
      <c r="D50" s="517"/>
      <c r="E50" s="517"/>
      <c r="F50" s="57"/>
      <c r="G50" s="57"/>
      <c r="H50" s="519"/>
    </row>
    <row r="51" spans="1:8" s="42" customFormat="1" ht="47.25" customHeight="1" outlineLevel="1">
      <c r="A51" s="514">
        <f>A49+1</f>
        <v>12</v>
      </c>
      <c r="B51" s="440" t="s">
        <v>199</v>
      </c>
      <c r="C51" s="516" t="s">
        <v>170</v>
      </c>
      <c r="D51" s="516" t="s">
        <v>124</v>
      </c>
      <c r="E51" s="516">
        <v>3700</v>
      </c>
      <c r="F51" s="57"/>
      <c r="G51" s="57"/>
      <c r="H51" s="518" t="s">
        <v>163</v>
      </c>
    </row>
    <row r="52" spans="1:8" s="42" customFormat="1" ht="38.25" outlineLevel="1">
      <c r="A52" s="515"/>
      <c r="B52" s="441" t="s">
        <v>387</v>
      </c>
      <c r="C52" s="517"/>
      <c r="D52" s="517"/>
      <c r="E52" s="517"/>
      <c r="F52" s="57"/>
      <c r="G52" s="57"/>
      <c r="H52" s="519"/>
    </row>
    <row r="53" spans="1:8" s="42" customFormat="1" ht="47.25" customHeight="1" outlineLevel="1">
      <c r="A53" s="514">
        <f>A51+1</f>
        <v>13</v>
      </c>
      <c r="B53" s="440" t="s">
        <v>199</v>
      </c>
      <c r="C53" s="516" t="s">
        <v>170</v>
      </c>
      <c r="D53" s="516" t="s">
        <v>124</v>
      </c>
      <c r="E53" s="516">
        <v>4250</v>
      </c>
      <c r="F53" s="57"/>
      <c r="G53" s="57"/>
      <c r="H53" s="518" t="s">
        <v>171</v>
      </c>
    </row>
    <row r="54" spans="1:8" s="42" customFormat="1" ht="38.25" outlineLevel="1">
      <c r="A54" s="515"/>
      <c r="B54" s="441" t="s">
        <v>387</v>
      </c>
      <c r="C54" s="517"/>
      <c r="D54" s="517"/>
      <c r="E54" s="517"/>
      <c r="F54" s="57"/>
      <c r="G54" s="57"/>
      <c r="H54" s="519"/>
    </row>
    <row r="55" spans="1:8" s="42" customFormat="1" ht="47.25" customHeight="1" outlineLevel="1">
      <c r="A55" s="514">
        <f>A53+1</f>
        <v>14</v>
      </c>
      <c r="B55" s="440" t="s">
        <v>390</v>
      </c>
      <c r="C55" s="516" t="s">
        <v>172</v>
      </c>
      <c r="D55" s="516" t="s">
        <v>122</v>
      </c>
      <c r="E55" s="516">
        <v>2900</v>
      </c>
      <c r="F55" s="57"/>
      <c r="G55" s="57"/>
      <c r="H55" s="518" t="s">
        <v>163</v>
      </c>
    </row>
    <row r="56" spans="1:8" s="42" customFormat="1" ht="38.25" outlineLevel="1">
      <c r="A56" s="515"/>
      <c r="B56" s="441" t="s">
        <v>388</v>
      </c>
      <c r="C56" s="517"/>
      <c r="D56" s="517"/>
      <c r="E56" s="517"/>
      <c r="F56" s="57"/>
      <c r="G56" s="57"/>
      <c r="H56" s="519"/>
    </row>
    <row r="57" spans="1:8" s="42" customFormat="1" ht="47.25" customHeight="1" outlineLevel="1">
      <c r="A57" s="514">
        <f>A55+1</f>
        <v>15</v>
      </c>
      <c r="B57" s="440" t="s">
        <v>389</v>
      </c>
      <c r="C57" s="516" t="s">
        <v>173</v>
      </c>
      <c r="D57" s="516" t="s">
        <v>122</v>
      </c>
      <c r="E57" s="516">
        <v>2600</v>
      </c>
      <c r="F57" s="57"/>
      <c r="G57" s="57"/>
      <c r="H57" s="518" t="s">
        <v>163</v>
      </c>
    </row>
    <row r="58" spans="1:8" s="42" customFormat="1" ht="38.25" outlineLevel="1">
      <c r="A58" s="515"/>
      <c r="B58" s="441" t="s">
        <v>388</v>
      </c>
      <c r="C58" s="517"/>
      <c r="D58" s="517"/>
      <c r="E58" s="517"/>
      <c r="F58" s="57"/>
      <c r="G58" s="57"/>
      <c r="H58" s="519"/>
    </row>
    <row r="59" spans="1:8" s="42" customFormat="1" ht="47.25" customHeight="1" outlineLevel="1">
      <c r="A59" s="514">
        <f>A57+1</f>
        <v>16</v>
      </c>
      <c r="B59" s="440" t="s">
        <v>389</v>
      </c>
      <c r="C59" s="516" t="s">
        <v>173</v>
      </c>
      <c r="D59" s="516" t="s">
        <v>122</v>
      </c>
      <c r="E59" s="516">
        <v>2500</v>
      </c>
      <c r="F59" s="57"/>
      <c r="G59" s="57"/>
      <c r="H59" s="518" t="s">
        <v>72</v>
      </c>
    </row>
    <row r="60" spans="1:8" s="42" customFormat="1" ht="38.25" outlineLevel="1">
      <c r="A60" s="515"/>
      <c r="B60" s="441" t="s">
        <v>388</v>
      </c>
      <c r="C60" s="517"/>
      <c r="D60" s="517"/>
      <c r="E60" s="517"/>
      <c r="F60" s="57"/>
      <c r="G60" s="57"/>
      <c r="H60" s="519"/>
    </row>
    <row r="61" spans="1:8" s="42" customFormat="1" ht="47.25" customHeight="1" outlineLevel="1">
      <c r="A61" s="514">
        <f>A59+1</f>
        <v>17</v>
      </c>
      <c r="B61" s="440" t="s">
        <v>389</v>
      </c>
      <c r="C61" s="516" t="s">
        <v>174</v>
      </c>
      <c r="D61" s="516" t="s">
        <v>122</v>
      </c>
      <c r="E61" s="516">
        <v>2600</v>
      </c>
      <c r="F61" s="57"/>
      <c r="G61" s="57"/>
      <c r="H61" s="518" t="s">
        <v>163</v>
      </c>
    </row>
    <row r="62" spans="1:8" s="42" customFormat="1" ht="38.25" outlineLevel="1">
      <c r="A62" s="515"/>
      <c r="B62" s="441" t="s">
        <v>388</v>
      </c>
      <c r="C62" s="517"/>
      <c r="D62" s="517"/>
      <c r="E62" s="517"/>
      <c r="F62" s="57"/>
      <c r="G62" s="57"/>
      <c r="H62" s="519"/>
    </row>
    <row r="63" spans="1:8" s="42" customFormat="1" ht="21.75" customHeight="1" outlineLevel="1">
      <c r="A63" s="54">
        <v>18</v>
      </c>
      <c r="B63" s="55" t="s">
        <v>175</v>
      </c>
      <c r="C63" s="70" t="s">
        <v>176</v>
      </c>
      <c r="D63" s="56" t="s">
        <v>124</v>
      </c>
      <c r="E63" s="56" t="s">
        <v>166</v>
      </c>
      <c r="F63" s="57"/>
      <c r="G63" s="57"/>
      <c r="H63" s="58" t="s">
        <v>163</v>
      </c>
    </row>
    <row r="64" spans="1:8" s="42" customFormat="1" ht="15">
      <c r="A64" s="485" t="s">
        <v>231</v>
      </c>
      <c r="B64" s="522"/>
      <c r="C64" s="486"/>
      <c r="D64" s="486"/>
      <c r="E64" s="486"/>
      <c r="F64" s="486"/>
      <c r="G64" s="486"/>
      <c r="H64" s="487"/>
    </row>
    <row r="65" spans="1:8" s="42" customFormat="1" ht="47.25" customHeight="1" outlineLevel="1">
      <c r="A65" s="514">
        <v>1</v>
      </c>
      <c r="B65" s="440" t="s">
        <v>372</v>
      </c>
      <c r="C65" s="516" t="s">
        <v>236</v>
      </c>
      <c r="D65" s="516" t="s">
        <v>348</v>
      </c>
      <c r="E65" s="516" t="s">
        <v>366</v>
      </c>
      <c r="F65" s="57"/>
      <c r="G65" s="57"/>
      <c r="H65" s="518" t="s">
        <v>354</v>
      </c>
    </row>
    <row r="66" spans="1:8" s="42" customFormat="1" ht="106.5" customHeight="1" outlineLevel="1">
      <c r="A66" s="515"/>
      <c r="B66" s="441" t="s">
        <v>369</v>
      </c>
      <c r="C66" s="517"/>
      <c r="D66" s="517"/>
      <c r="E66" s="517"/>
      <c r="F66" s="57"/>
      <c r="G66" s="57"/>
      <c r="H66" s="519"/>
    </row>
    <row r="67" spans="1:8" s="42" customFormat="1" ht="45" customHeight="1" outlineLevel="1">
      <c r="A67" s="514">
        <v>2</v>
      </c>
      <c r="B67" s="440" t="s">
        <v>373</v>
      </c>
      <c r="C67" s="516" t="s">
        <v>240</v>
      </c>
      <c r="D67" s="516" t="s">
        <v>348</v>
      </c>
      <c r="E67" s="516" t="s">
        <v>365</v>
      </c>
      <c r="F67" s="57"/>
      <c r="G67" s="57"/>
      <c r="H67" s="518" t="s">
        <v>355</v>
      </c>
    </row>
    <row r="68" spans="1:8" s="42" customFormat="1" ht="114.75" outlineLevel="1">
      <c r="A68" s="515"/>
      <c r="B68" s="441" t="s">
        <v>370</v>
      </c>
      <c r="C68" s="517"/>
      <c r="D68" s="517"/>
      <c r="E68" s="517"/>
      <c r="F68" s="57"/>
      <c r="G68" s="57"/>
      <c r="H68" s="519"/>
    </row>
    <row r="69" spans="1:8" s="42" customFormat="1" ht="48.75" customHeight="1" outlineLevel="1">
      <c r="A69" s="514">
        <v>3</v>
      </c>
      <c r="B69" s="440" t="s">
        <v>374</v>
      </c>
      <c r="C69" s="516" t="s">
        <v>242</v>
      </c>
      <c r="D69" s="516" t="s">
        <v>348</v>
      </c>
      <c r="E69" s="516" t="s">
        <v>364</v>
      </c>
      <c r="F69" s="57"/>
      <c r="G69" s="57"/>
      <c r="H69" s="518" t="s">
        <v>355</v>
      </c>
    </row>
    <row r="70" spans="1:8" s="42" customFormat="1" ht="165.75" outlineLevel="1">
      <c r="A70" s="515"/>
      <c r="B70" s="441" t="s">
        <v>371</v>
      </c>
      <c r="C70" s="517"/>
      <c r="D70" s="517"/>
      <c r="E70" s="517"/>
      <c r="F70" s="57"/>
      <c r="G70" s="57"/>
      <c r="H70" s="519"/>
    </row>
    <row r="71" spans="1:8" s="42" customFormat="1" ht="50.25" customHeight="1" outlineLevel="1">
      <c r="A71" s="514">
        <v>4</v>
      </c>
      <c r="B71" s="440" t="s">
        <v>378</v>
      </c>
      <c r="C71" s="516" t="s">
        <v>244</v>
      </c>
      <c r="D71" s="516" t="s">
        <v>348</v>
      </c>
      <c r="E71" s="516" t="s">
        <v>356</v>
      </c>
      <c r="F71" s="57"/>
      <c r="G71" s="57"/>
      <c r="H71" s="518" t="s">
        <v>357</v>
      </c>
    </row>
    <row r="72" spans="1:8" s="42" customFormat="1" ht="95.25" customHeight="1" outlineLevel="1">
      <c r="A72" s="515"/>
      <c r="B72" s="441" t="s">
        <v>376</v>
      </c>
      <c r="C72" s="517"/>
      <c r="D72" s="517"/>
      <c r="E72" s="517"/>
      <c r="F72" s="57"/>
      <c r="G72" s="57"/>
      <c r="H72" s="519"/>
    </row>
    <row r="73" spans="1:8" s="42" customFormat="1" ht="64.5" customHeight="1" outlineLevel="1">
      <c r="A73" s="514">
        <v>5</v>
      </c>
      <c r="B73" s="440" t="s">
        <v>379</v>
      </c>
      <c r="C73" s="516" t="s">
        <v>246</v>
      </c>
      <c r="D73" s="516" t="s">
        <v>349</v>
      </c>
      <c r="E73" s="516" t="s">
        <v>358</v>
      </c>
      <c r="F73" s="57"/>
      <c r="G73" s="57"/>
      <c r="H73" s="518" t="s">
        <v>359</v>
      </c>
    </row>
    <row r="74" spans="1:8" s="42" customFormat="1" ht="76.5" outlineLevel="1">
      <c r="A74" s="515"/>
      <c r="B74" s="441" t="s">
        <v>377</v>
      </c>
      <c r="C74" s="517"/>
      <c r="D74" s="517"/>
      <c r="E74" s="517"/>
      <c r="F74" s="57"/>
      <c r="G74" s="57"/>
      <c r="H74" s="519"/>
    </row>
    <row r="75" spans="1:8" s="42" customFormat="1" ht="62.25" customHeight="1" outlineLevel="1">
      <c r="A75" s="514">
        <v>6</v>
      </c>
      <c r="B75" s="440" t="s">
        <v>380</v>
      </c>
      <c r="C75" s="516" t="s">
        <v>248</v>
      </c>
      <c r="D75" s="516" t="s">
        <v>350</v>
      </c>
      <c r="E75" s="516" t="s">
        <v>361</v>
      </c>
      <c r="F75" s="57"/>
      <c r="G75" s="57"/>
      <c r="H75" s="518" t="s">
        <v>360</v>
      </c>
    </row>
    <row r="76" spans="1:8" s="42" customFormat="1" ht="76.5" outlineLevel="1">
      <c r="A76" s="515"/>
      <c r="B76" s="441" t="s">
        <v>375</v>
      </c>
      <c r="C76" s="517"/>
      <c r="D76" s="517"/>
      <c r="E76" s="517"/>
      <c r="F76" s="57"/>
      <c r="G76" s="57"/>
      <c r="H76" s="519"/>
    </row>
    <row r="77" spans="1:8" s="42" customFormat="1" ht="48" customHeight="1" outlineLevel="1">
      <c r="A77" s="514">
        <v>7</v>
      </c>
      <c r="B77" s="440" t="s">
        <v>381</v>
      </c>
      <c r="C77" s="516" t="s">
        <v>250</v>
      </c>
      <c r="D77" s="516" t="s">
        <v>351</v>
      </c>
      <c r="E77" s="516" t="s">
        <v>363</v>
      </c>
      <c r="F77" s="57"/>
      <c r="G77" s="57"/>
      <c r="H77" s="518" t="s">
        <v>362</v>
      </c>
    </row>
    <row r="78" spans="1:8" s="42" customFormat="1" ht="178.5" outlineLevel="1">
      <c r="A78" s="515"/>
      <c r="B78" s="441" t="s">
        <v>382</v>
      </c>
      <c r="C78" s="517"/>
      <c r="D78" s="517"/>
      <c r="E78" s="517"/>
      <c r="F78" s="57"/>
      <c r="G78" s="57"/>
      <c r="H78" s="519"/>
    </row>
    <row r="79" spans="1:8" s="42" customFormat="1" ht="50.25" customHeight="1" outlineLevel="1">
      <c r="A79" s="514">
        <v>8</v>
      </c>
      <c r="B79" s="440" t="s">
        <v>383</v>
      </c>
      <c r="C79" s="516" t="s">
        <v>253</v>
      </c>
      <c r="D79" s="516" t="s">
        <v>351</v>
      </c>
      <c r="E79" s="516" t="s">
        <v>368</v>
      </c>
      <c r="F79" s="57"/>
      <c r="G79" s="57"/>
      <c r="H79" s="518" t="s">
        <v>367</v>
      </c>
    </row>
    <row r="80" spans="1:8" s="42" customFormat="1" ht="178.5" outlineLevel="1">
      <c r="A80" s="515"/>
      <c r="B80" s="441" t="s">
        <v>382</v>
      </c>
      <c r="C80" s="517"/>
      <c r="D80" s="517"/>
      <c r="E80" s="517"/>
      <c r="F80" s="57"/>
      <c r="G80" s="57"/>
      <c r="H80" s="519"/>
    </row>
    <row r="81" spans="1:8" s="42" customFormat="1" ht="15">
      <c r="A81" s="485" t="s">
        <v>183</v>
      </c>
      <c r="B81" s="486"/>
      <c r="C81" s="486"/>
      <c r="D81" s="486"/>
      <c r="E81" s="486"/>
      <c r="F81" s="486"/>
      <c r="G81" s="486"/>
      <c r="H81" s="487"/>
    </row>
    <row r="82" spans="1:8" s="42" customFormat="1" ht="19.5" customHeight="1" outlineLevel="1">
      <c r="A82" s="54">
        <v>1</v>
      </c>
      <c r="B82" s="50" t="s">
        <v>184</v>
      </c>
      <c r="C82" s="70" t="s">
        <v>185</v>
      </c>
      <c r="D82" s="56" t="s">
        <v>201</v>
      </c>
      <c r="E82" s="56" t="s">
        <v>166</v>
      </c>
      <c r="F82" s="57"/>
      <c r="G82" s="57"/>
      <c r="H82" s="58" t="s">
        <v>186</v>
      </c>
    </row>
    <row r="83" spans="1:8" s="42" customFormat="1" ht="19.5" customHeight="1" outlineLevel="1">
      <c r="A83" s="54">
        <v>2</v>
      </c>
      <c r="B83" s="50" t="s">
        <v>184</v>
      </c>
      <c r="C83" s="70" t="s">
        <v>187</v>
      </c>
      <c r="D83" s="56" t="s">
        <v>201</v>
      </c>
      <c r="E83" s="56" t="s">
        <v>166</v>
      </c>
      <c r="F83" s="57"/>
      <c r="G83" s="57"/>
      <c r="H83" s="58" t="s">
        <v>186</v>
      </c>
    </row>
    <row r="84" spans="1:8" s="42" customFormat="1" ht="30.75" customHeight="1" outlineLevel="1">
      <c r="A84" s="54">
        <v>3</v>
      </c>
      <c r="B84" s="50" t="s">
        <v>188</v>
      </c>
      <c r="C84" s="70" t="s">
        <v>189</v>
      </c>
      <c r="D84" s="56" t="s">
        <v>190</v>
      </c>
      <c r="E84" s="56" t="s">
        <v>166</v>
      </c>
      <c r="F84" s="57"/>
      <c r="G84" s="57"/>
      <c r="H84" s="58" t="s">
        <v>191</v>
      </c>
    </row>
    <row r="85" spans="1:8" s="42" customFormat="1" ht="19.5" customHeight="1" outlineLevel="1">
      <c r="A85" s="54">
        <v>4</v>
      </c>
      <c r="B85" s="50" t="s">
        <v>192</v>
      </c>
      <c r="C85" s="70"/>
      <c r="D85" s="56" t="s">
        <v>193</v>
      </c>
      <c r="E85" s="56" t="s">
        <v>166</v>
      </c>
      <c r="F85" s="57"/>
      <c r="G85" s="57"/>
      <c r="H85" s="58" t="s">
        <v>194</v>
      </c>
    </row>
    <row r="86" spans="1:8" s="42" customFormat="1" ht="15">
      <c r="A86" s="510" t="s">
        <v>125</v>
      </c>
      <c r="B86" s="511"/>
      <c r="C86" s="511"/>
      <c r="D86" s="511"/>
      <c r="E86" s="511"/>
      <c r="F86" s="512"/>
      <c r="G86" s="512"/>
      <c r="H86" s="513"/>
    </row>
    <row r="87" spans="1:8" s="42" customFormat="1" ht="31.5" customHeight="1" outlineLevel="1">
      <c r="A87" s="54">
        <v>1</v>
      </c>
      <c r="B87" s="50" t="s">
        <v>177</v>
      </c>
      <c r="C87" s="70"/>
      <c r="D87" s="56"/>
      <c r="E87" s="51">
        <v>150</v>
      </c>
      <c r="F87" s="52"/>
      <c r="G87" s="52"/>
      <c r="H87" s="58"/>
    </row>
    <row r="88" spans="1:8" s="42" customFormat="1" ht="31.5" customHeight="1" outlineLevel="1">
      <c r="A88" s="54">
        <v>2</v>
      </c>
      <c r="B88" s="50" t="s">
        <v>178</v>
      </c>
      <c r="C88" s="70"/>
      <c r="D88" s="56"/>
      <c r="E88" s="56">
        <v>200</v>
      </c>
      <c r="F88" s="57"/>
      <c r="G88" s="57"/>
      <c r="H88" s="58"/>
    </row>
    <row r="89" spans="1:8" s="42" customFormat="1" ht="19.5" customHeight="1" outlineLevel="1" thickBot="1">
      <c r="A89" s="71">
        <v>3</v>
      </c>
      <c r="B89" s="72" t="s">
        <v>126</v>
      </c>
      <c r="C89" s="73"/>
      <c r="D89" s="74"/>
      <c r="E89" s="74">
        <v>169.49</v>
      </c>
      <c r="F89" s="75"/>
      <c r="G89" s="75"/>
      <c r="H89" s="76"/>
    </row>
    <row r="90" spans="4:8" s="42" customFormat="1" ht="15.75" thickTop="1">
      <c r="D90" s="59"/>
      <c r="H90" s="59"/>
    </row>
    <row r="91" spans="1:8" s="78" customFormat="1" ht="18">
      <c r="A91" s="77" t="s">
        <v>202</v>
      </c>
      <c r="D91" s="79"/>
      <c r="H91" s="79"/>
    </row>
    <row r="92" spans="1:8" s="78" customFormat="1" ht="18">
      <c r="A92" s="77" t="s">
        <v>203</v>
      </c>
      <c r="D92" s="79"/>
      <c r="H92" s="79"/>
    </row>
    <row r="93" spans="1:8" s="78" customFormat="1" ht="18">
      <c r="A93" s="77" t="s">
        <v>204</v>
      </c>
      <c r="D93" s="79"/>
      <c r="H93" s="79"/>
    </row>
    <row r="94" spans="1:8" s="78" customFormat="1" ht="18">
      <c r="A94" s="77" t="s">
        <v>205</v>
      </c>
      <c r="D94" s="79"/>
      <c r="H94" s="79"/>
    </row>
    <row r="95" spans="4:8" s="80" customFormat="1" ht="18">
      <c r="D95" s="81"/>
      <c r="H95" s="81"/>
    </row>
    <row r="96" spans="2:8" s="80" customFormat="1" ht="18">
      <c r="B96" s="82" t="s">
        <v>220</v>
      </c>
      <c r="D96" s="81"/>
      <c r="H96" s="81"/>
    </row>
    <row r="97" spans="2:8" s="80" customFormat="1" ht="39.75" customHeight="1">
      <c r="B97" s="520" t="s">
        <v>222</v>
      </c>
      <c r="C97" s="520"/>
      <c r="D97" s="520"/>
      <c r="E97" s="520"/>
      <c r="F97" s="520"/>
      <c r="G97" s="520"/>
      <c r="H97" s="520"/>
    </row>
    <row r="98" spans="2:8" s="80" customFormat="1" ht="36.75" customHeight="1">
      <c r="B98" s="520" t="s">
        <v>223</v>
      </c>
      <c r="C98" s="520"/>
      <c r="D98" s="520"/>
      <c r="E98" s="520"/>
      <c r="F98" s="520"/>
      <c r="G98" s="520"/>
      <c r="H98" s="520"/>
    </row>
    <row r="99" spans="2:8" s="80" customFormat="1" ht="22.5" customHeight="1">
      <c r="B99" s="520" t="s">
        <v>206</v>
      </c>
      <c r="C99" s="520"/>
      <c r="D99" s="520"/>
      <c r="E99" s="520"/>
      <c r="F99" s="520"/>
      <c r="G99" s="520"/>
      <c r="H99" s="520"/>
    </row>
    <row r="100" spans="2:8" s="80" customFormat="1" ht="35.25" customHeight="1">
      <c r="B100" s="520" t="s">
        <v>207</v>
      </c>
      <c r="C100" s="520"/>
      <c r="D100" s="520"/>
      <c r="E100" s="520"/>
      <c r="F100" s="520"/>
      <c r="G100" s="520"/>
      <c r="H100" s="520"/>
    </row>
    <row r="101" spans="2:8" s="80" customFormat="1" ht="41.25" customHeight="1">
      <c r="B101" s="520" t="s">
        <v>208</v>
      </c>
      <c r="C101" s="520"/>
      <c r="D101" s="520"/>
      <c r="E101" s="520"/>
      <c r="F101" s="520"/>
      <c r="G101" s="520"/>
      <c r="H101" s="520"/>
    </row>
    <row r="102" spans="2:8" s="80" customFormat="1" ht="37.5" customHeight="1">
      <c r="B102" s="520" t="s">
        <v>221</v>
      </c>
      <c r="C102" s="520"/>
      <c r="D102" s="520"/>
      <c r="E102" s="520"/>
      <c r="F102" s="520"/>
      <c r="G102" s="520"/>
      <c r="H102" s="520"/>
    </row>
    <row r="103" spans="2:8" s="80" customFormat="1" ht="18.75" customHeight="1">
      <c r="B103" s="520" t="s">
        <v>209</v>
      </c>
      <c r="C103" s="520"/>
      <c r="D103" s="520"/>
      <c r="E103" s="520"/>
      <c r="F103" s="520"/>
      <c r="G103" s="520"/>
      <c r="H103" s="520"/>
    </row>
    <row r="104" spans="2:8" s="80" customFormat="1" ht="14.25" customHeight="1">
      <c r="B104" s="83"/>
      <c r="C104" s="83"/>
      <c r="D104" s="83"/>
      <c r="E104" s="83"/>
      <c r="F104" s="83"/>
      <c r="G104" s="83"/>
      <c r="H104" s="83"/>
    </row>
    <row r="105" spans="2:8" s="80" customFormat="1" ht="48.75" customHeight="1">
      <c r="B105" s="521" t="s">
        <v>224</v>
      </c>
      <c r="C105" s="521"/>
      <c r="D105" s="521"/>
      <c r="E105" s="521"/>
      <c r="F105" s="521"/>
      <c r="G105" s="521"/>
      <c r="H105" s="521"/>
    </row>
    <row r="106" spans="2:8" s="80" customFormat="1" ht="27.75" customHeight="1">
      <c r="B106" s="521" t="s">
        <v>225</v>
      </c>
      <c r="C106" s="521"/>
      <c r="D106" s="521"/>
      <c r="E106" s="521"/>
      <c r="F106" s="521"/>
      <c r="G106" s="521"/>
      <c r="H106" s="521"/>
    </row>
    <row r="107" spans="2:8" s="80" customFormat="1" ht="66.75" customHeight="1">
      <c r="B107" s="521" t="s">
        <v>226</v>
      </c>
      <c r="C107" s="521"/>
      <c r="D107" s="521"/>
      <c r="E107" s="521"/>
      <c r="F107" s="521"/>
      <c r="G107" s="521"/>
      <c r="H107" s="521"/>
    </row>
    <row r="108" spans="2:8" s="80" customFormat="1" ht="62.25" customHeight="1">
      <c r="B108" s="521" t="s">
        <v>230</v>
      </c>
      <c r="C108" s="521"/>
      <c r="D108" s="521"/>
      <c r="E108" s="521"/>
      <c r="F108" s="521"/>
      <c r="G108" s="521"/>
      <c r="H108" s="521"/>
    </row>
    <row r="109" spans="2:8" s="80" customFormat="1" ht="51" customHeight="1">
      <c r="B109" s="521" t="s">
        <v>227</v>
      </c>
      <c r="C109" s="521"/>
      <c r="D109" s="521"/>
      <c r="E109" s="521"/>
      <c r="F109" s="521"/>
      <c r="G109" s="521"/>
      <c r="H109" s="521"/>
    </row>
    <row r="110" spans="2:8" s="80" customFormat="1" ht="38.25" customHeight="1">
      <c r="B110" s="521" t="s">
        <v>228</v>
      </c>
      <c r="C110" s="521"/>
      <c r="D110" s="521"/>
      <c r="E110" s="521"/>
      <c r="F110" s="521"/>
      <c r="G110" s="521"/>
      <c r="H110" s="521"/>
    </row>
    <row r="111" spans="2:8" ht="14.25" customHeight="1">
      <c r="B111" s="60"/>
      <c r="C111" s="60"/>
      <c r="D111" s="60"/>
      <c r="E111" s="60"/>
      <c r="F111" s="60"/>
      <c r="G111" s="60"/>
      <c r="H111" s="60"/>
    </row>
    <row r="112" spans="2:8" ht="14.25" customHeight="1">
      <c r="B112" s="60"/>
      <c r="C112" s="60"/>
      <c r="D112" s="60"/>
      <c r="E112" s="60"/>
      <c r="F112" s="60"/>
      <c r="G112" s="60"/>
      <c r="H112" s="60"/>
    </row>
    <row r="113" s="61" customFormat="1" ht="12.75"/>
    <row r="114" s="61" customFormat="1" ht="14.25" customHeight="1"/>
    <row r="115" s="61" customFormat="1" ht="14.25" customHeight="1"/>
    <row r="116" s="61" customFormat="1" ht="14.25" customHeight="1"/>
    <row r="117" ht="14.25" customHeight="1"/>
    <row r="118" ht="27.75" customHeight="1"/>
    <row r="119" ht="30.75" customHeight="1"/>
    <row r="120" ht="34.5" customHeight="1"/>
    <row r="121" ht="38.25" customHeight="1"/>
    <row r="122" ht="38.25" customHeight="1"/>
  </sheetData>
  <sheetProtection/>
  <mergeCells count="146">
    <mergeCell ref="C61:C62"/>
    <mergeCell ref="E53:E54"/>
    <mergeCell ref="H57:H58"/>
    <mergeCell ref="A55:A56"/>
    <mergeCell ref="C55:C56"/>
    <mergeCell ref="D55:D56"/>
    <mergeCell ref="E55:E56"/>
    <mergeCell ref="H55:H56"/>
    <mergeCell ref="A57:A58"/>
    <mergeCell ref="C57:C58"/>
    <mergeCell ref="D61:D62"/>
    <mergeCell ref="E61:E62"/>
    <mergeCell ref="E57:E58"/>
    <mergeCell ref="H61:H62"/>
    <mergeCell ref="A59:A60"/>
    <mergeCell ref="C59:C60"/>
    <mergeCell ref="D59:D60"/>
    <mergeCell ref="E59:E60"/>
    <mergeCell ref="H59:H60"/>
    <mergeCell ref="A61:A62"/>
    <mergeCell ref="A47:A48"/>
    <mergeCell ref="C47:C48"/>
    <mergeCell ref="D47:D48"/>
    <mergeCell ref="E47:E48"/>
    <mergeCell ref="H47:H48"/>
    <mergeCell ref="A49:A50"/>
    <mergeCell ref="C49:C50"/>
    <mergeCell ref="D57:D58"/>
    <mergeCell ref="E49:E50"/>
    <mergeCell ref="H53:H54"/>
    <mergeCell ref="A51:A52"/>
    <mergeCell ref="C51:C52"/>
    <mergeCell ref="D51:D52"/>
    <mergeCell ref="E51:E52"/>
    <mergeCell ref="H51:H52"/>
    <mergeCell ref="A53:A54"/>
    <mergeCell ref="C53:C54"/>
    <mergeCell ref="A35:A36"/>
    <mergeCell ref="C35:C36"/>
    <mergeCell ref="D35:D36"/>
    <mergeCell ref="E35:E36"/>
    <mergeCell ref="H35:H36"/>
    <mergeCell ref="A37:A38"/>
    <mergeCell ref="C37:C38"/>
    <mergeCell ref="D45:D46"/>
    <mergeCell ref="E37:E38"/>
    <mergeCell ref="H41:H42"/>
    <mergeCell ref="A39:A40"/>
    <mergeCell ref="C39:C40"/>
    <mergeCell ref="D39:D40"/>
    <mergeCell ref="E39:E40"/>
    <mergeCell ref="H39:H40"/>
    <mergeCell ref="A41:A42"/>
    <mergeCell ref="C41:C42"/>
    <mergeCell ref="E41:E42"/>
    <mergeCell ref="H45:H46"/>
    <mergeCell ref="A43:A44"/>
    <mergeCell ref="C43:C44"/>
    <mergeCell ref="D43:D44"/>
    <mergeCell ref="E43:E44"/>
    <mergeCell ref="H43:H44"/>
    <mergeCell ref="A64:H64"/>
    <mergeCell ref="A81:H81"/>
    <mergeCell ref="C79:C80"/>
    <mergeCell ref="D79:D80"/>
    <mergeCell ref="E79:E80"/>
    <mergeCell ref="D37:D38"/>
    <mergeCell ref="H79:H80"/>
    <mergeCell ref="A77:A78"/>
    <mergeCell ref="C77:C78"/>
    <mergeCell ref="D77:D78"/>
    <mergeCell ref="E77:E78"/>
    <mergeCell ref="H77:H78"/>
    <mergeCell ref="C75:C76"/>
    <mergeCell ref="D75:D76"/>
    <mergeCell ref="E75:E76"/>
    <mergeCell ref="D41:D42"/>
    <mergeCell ref="E65:E66"/>
    <mergeCell ref="H37:H38"/>
    <mergeCell ref="D49:D50"/>
    <mergeCell ref="A45:A46"/>
    <mergeCell ref="C45:C46"/>
    <mergeCell ref="D53:D54"/>
    <mergeCell ref="E45:E46"/>
    <mergeCell ref="H49:H50"/>
    <mergeCell ref="A71:A72"/>
    <mergeCell ref="C71:C72"/>
    <mergeCell ref="A69:A70"/>
    <mergeCell ref="C69:C70"/>
    <mergeCell ref="D69:D70"/>
    <mergeCell ref="A86:H86"/>
    <mergeCell ref="A65:A66"/>
    <mergeCell ref="C65:C66"/>
    <mergeCell ref="D65:D66"/>
    <mergeCell ref="A67:A68"/>
    <mergeCell ref="E67:E68"/>
    <mergeCell ref="H67:H68"/>
    <mergeCell ref="A75:A76"/>
    <mergeCell ref="E69:E70"/>
    <mergeCell ref="A79:A80"/>
    <mergeCell ref="A73:A74"/>
    <mergeCell ref="C73:C74"/>
    <mergeCell ref="D73:D74"/>
    <mergeCell ref="E73:E74"/>
    <mergeCell ref="B110:H110"/>
    <mergeCell ref="B103:H103"/>
    <mergeCell ref="B105:H105"/>
    <mergeCell ref="B106:H106"/>
    <mergeCell ref="B107:H107"/>
    <mergeCell ref="B108:H108"/>
    <mergeCell ref="B109:H109"/>
    <mergeCell ref="B98:H98"/>
    <mergeCell ref="B99:H99"/>
    <mergeCell ref="B100:H100"/>
    <mergeCell ref="B101:H101"/>
    <mergeCell ref="B102:H102"/>
    <mergeCell ref="B97:H97"/>
    <mergeCell ref="H65:H66"/>
    <mergeCell ref="C67:C68"/>
    <mergeCell ref="D67:D68"/>
    <mergeCell ref="D71:D72"/>
    <mergeCell ref="E71:E72"/>
    <mergeCell ref="H75:H76"/>
    <mergeCell ref="H73:H74"/>
    <mergeCell ref="H71:H72"/>
    <mergeCell ref="H69:H70"/>
    <mergeCell ref="A21:H21"/>
    <mergeCell ref="A17:H17"/>
    <mergeCell ref="A18:H18"/>
    <mergeCell ref="A15:A16"/>
    <mergeCell ref="B15:H15"/>
    <mergeCell ref="A30:H30"/>
    <mergeCell ref="A33:A34"/>
    <mergeCell ref="C33:C34"/>
    <mergeCell ref="D33:D34"/>
    <mergeCell ref="H33:H34"/>
    <mergeCell ref="E33:E34"/>
    <mergeCell ref="A1:H1"/>
    <mergeCell ref="A2:H2"/>
    <mergeCell ref="E4:H6"/>
    <mergeCell ref="E9:H9"/>
    <mergeCell ref="E11:H11"/>
    <mergeCell ref="E13:H13"/>
    <mergeCell ref="B16:H16"/>
    <mergeCell ref="E10:H10"/>
    <mergeCell ref="A19:H19"/>
  </mergeCells>
  <hyperlinks>
    <hyperlink ref="E13" r:id="rId1" display="http://www.ogneupor-nsk.ru                                                  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zoomScale="75" zoomScaleNormal="75" zoomScalePageLayoutView="0" workbookViewId="0" topLeftCell="A32">
      <selection activeCell="F44" sqref="F44:G45"/>
    </sheetView>
  </sheetViews>
  <sheetFormatPr defaultColWidth="9.00390625" defaultRowHeight="12.75"/>
  <cols>
    <col min="1" max="1" width="4.75390625" style="445" customWidth="1"/>
    <col min="2" max="2" width="60.875" style="532" customWidth="1"/>
    <col min="3" max="3" width="11.00390625" style="445" customWidth="1"/>
    <col min="4" max="4" width="25.75390625" style="532" customWidth="1"/>
    <col min="5" max="5" width="35.00390625" style="565" customWidth="1"/>
    <col min="6" max="6" width="19.125" style="535" customWidth="1"/>
    <col min="7" max="7" width="19.875" style="535" customWidth="1"/>
    <col min="8" max="8" width="55.125" style="532" customWidth="1"/>
    <col min="9" max="16384" width="9.125" style="445" customWidth="1"/>
  </cols>
  <sheetData>
    <row r="1" spans="1:8" ht="15">
      <c r="A1" s="523" t="s">
        <v>200</v>
      </c>
      <c r="B1" s="523"/>
      <c r="C1" s="523"/>
      <c r="D1" s="523"/>
      <c r="E1" s="523"/>
      <c r="F1" s="523"/>
      <c r="G1" s="523"/>
      <c r="H1" s="523"/>
    </row>
    <row r="2" spans="1:8" ht="84" customHeight="1">
      <c r="A2" s="524"/>
      <c r="B2" s="524"/>
      <c r="C2" s="524"/>
      <c r="D2" s="524"/>
      <c r="E2" s="524"/>
      <c r="F2" s="524"/>
      <c r="G2" s="524"/>
      <c r="H2" s="524"/>
    </row>
    <row r="3" spans="1:8" ht="15">
      <c r="A3" s="450"/>
      <c r="B3" s="453"/>
      <c r="C3" s="450"/>
      <c r="D3" s="453"/>
      <c r="E3" s="450"/>
      <c r="F3" s="474"/>
      <c r="G3" s="474"/>
      <c r="H3" s="475"/>
    </row>
    <row r="4" spans="2:8" s="454" customFormat="1" ht="15">
      <c r="B4" s="455" t="s">
        <v>145</v>
      </c>
      <c r="C4" s="456"/>
      <c r="D4" s="457"/>
      <c r="E4" s="452"/>
      <c r="F4" s="525"/>
      <c r="G4" s="525"/>
      <c r="H4" s="525"/>
    </row>
    <row r="5" spans="2:8" s="454" customFormat="1" ht="15">
      <c r="B5" s="458" t="s">
        <v>146</v>
      </c>
      <c r="C5" s="451"/>
      <c r="D5" s="457"/>
      <c r="E5" s="452"/>
      <c r="F5" s="525"/>
      <c r="G5" s="525"/>
      <c r="H5" s="525"/>
    </row>
    <row r="6" spans="2:8" s="454" customFormat="1" ht="15">
      <c r="B6" s="455" t="s">
        <v>147</v>
      </c>
      <c r="C6" s="456"/>
      <c r="D6" s="457"/>
      <c r="E6" s="452"/>
      <c r="F6" s="525"/>
      <c r="G6" s="525"/>
      <c r="H6" s="525"/>
    </row>
    <row r="7" spans="2:8" s="454" customFormat="1" ht="15">
      <c r="B7" s="455"/>
      <c r="C7" s="459"/>
      <c r="D7" s="457"/>
      <c r="E7" s="452"/>
      <c r="F7" s="476"/>
      <c r="G7" s="476"/>
      <c r="H7" s="477"/>
    </row>
    <row r="8" spans="2:8" s="454" customFormat="1" ht="15">
      <c r="B8" s="458" t="s">
        <v>148</v>
      </c>
      <c r="C8" s="451"/>
      <c r="D8" s="457"/>
      <c r="E8" s="452"/>
      <c r="F8" s="476"/>
      <c r="G8" s="476"/>
      <c r="H8" s="477"/>
    </row>
    <row r="9" spans="2:8" s="454" customFormat="1" ht="15">
      <c r="B9" s="458" t="s">
        <v>149</v>
      </c>
      <c r="C9" s="451"/>
      <c r="D9" s="457"/>
      <c r="E9" s="452"/>
      <c r="F9" s="526"/>
      <c r="G9" s="526"/>
      <c r="H9" s="526"/>
    </row>
    <row r="10" spans="2:8" s="454" customFormat="1" ht="15">
      <c r="B10" s="458" t="s">
        <v>150</v>
      </c>
      <c r="C10" s="451"/>
      <c r="D10" s="457"/>
      <c r="E10" s="452"/>
      <c r="F10" s="526"/>
      <c r="G10" s="526"/>
      <c r="H10" s="526"/>
    </row>
    <row r="11" spans="2:8" s="454" customFormat="1" ht="15.75">
      <c r="B11" s="458" t="s">
        <v>151</v>
      </c>
      <c r="C11" s="451"/>
      <c r="D11" s="457"/>
      <c r="E11" s="460"/>
      <c r="F11" s="528"/>
      <c r="G11" s="528"/>
      <c r="H11" s="528"/>
    </row>
    <row r="12" spans="2:8" s="454" customFormat="1" ht="15.75">
      <c r="B12" s="458" t="s">
        <v>259</v>
      </c>
      <c r="C12" s="451"/>
      <c r="D12" s="457"/>
      <c r="E12" s="460"/>
      <c r="F12" s="478"/>
      <c r="G12" s="478"/>
      <c r="H12" s="479"/>
    </row>
    <row r="13" spans="2:8" s="454" customFormat="1" ht="16.5" customHeight="1">
      <c r="B13" s="455"/>
      <c r="C13" s="459"/>
      <c r="D13" s="457"/>
      <c r="E13" s="457"/>
      <c r="F13" s="457"/>
      <c r="G13" s="457"/>
      <c r="H13" s="457"/>
    </row>
    <row r="14" spans="1:8" s="482" customFormat="1" ht="50.25" customHeight="1">
      <c r="A14" s="529"/>
      <c r="B14" s="533" t="s">
        <v>43</v>
      </c>
      <c r="C14" s="533"/>
      <c r="D14" s="533"/>
      <c r="E14" s="533"/>
      <c r="F14" s="533"/>
      <c r="G14" s="533"/>
      <c r="H14" s="533"/>
    </row>
    <row r="15" spans="1:8" s="482" customFormat="1" ht="24.75" customHeight="1">
      <c r="A15" s="529"/>
      <c r="B15" s="534" t="s">
        <v>197</v>
      </c>
      <c r="C15" s="534"/>
      <c r="D15" s="534"/>
      <c r="E15" s="534"/>
      <c r="F15" s="534"/>
      <c r="G15" s="534"/>
      <c r="H15" s="534"/>
    </row>
    <row r="16" spans="1:8" s="482" customFormat="1" ht="15">
      <c r="A16" s="527"/>
      <c r="B16" s="527"/>
      <c r="C16" s="527"/>
      <c r="D16" s="527"/>
      <c r="E16" s="527"/>
      <c r="F16" s="527"/>
      <c r="G16" s="527"/>
      <c r="H16" s="527"/>
    </row>
    <row r="17" spans="1:8" s="538" customFormat="1" ht="45">
      <c r="A17" s="536" t="s">
        <v>62</v>
      </c>
      <c r="B17" s="537"/>
      <c r="C17" s="537"/>
      <c r="D17" s="537"/>
      <c r="E17" s="537"/>
      <c r="F17" s="537"/>
      <c r="G17" s="537"/>
      <c r="H17" s="537"/>
    </row>
    <row r="18" spans="1:8" s="482" customFormat="1" ht="15">
      <c r="A18" s="530"/>
      <c r="B18" s="530"/>
      <c r="C18" s="530"/>
      <c r="D18" s="530"/>
      <c r="E18" s="530"/>
      <c r="F18" s="530"/>
      <c r="G18" s="530"/>
      <c r="H18" s="530"/>
    </row>
    <row r="19" spans="1:8" s="544" customFormat="1" ht="72">
      <c r="A19" s="576"/>
      <c r="B19" s="577" t="s">
        <v>195</v>
      </c>
      <c r="C19" s="480" t="s">
        <v>57</v>
      </c>
      <c r="D19" s="481" t="s">
        <v>196</v>
      </c>
      <c r="E19" s="576" t="s">
        <v>114</v>
      </c>
      <c r="F19" s="578" t="s">
        <v>420</v>
      </c>
      <c r="G19" s="578" t="s">
        <v>0</v>
      </c>
      <c r="H19" s="481" t="s">
        <v>457</v>
      </c>
    </row>
    <row r="20" spans="1:8" s="461" customFormat="1" ht="15.75">
      <c r="A20" s="566"/>
      <c r="B20" s="567"/>
      <c r="C20" s="568"/>
      <c r="D20" s="569"/>
      <c r="E20" s="566"/>
      <c r="F20" s="570" t="s">
        <v>458</v>
      </c>
      <c r="G20" s="570"/>
      <c r="H20" s="569"/>
    </row>
    <row r="21" spans="1:8" s="575" customFormat="1" ht="37.5" customHeight="1">
      <c r="A21" s="571" t="s">
        <v>182</v>
      </c>
      <c r="B21" s="572"/>
      <c r="C21" s="572"/>
      <c r="D21" s="573"/>
      <c r="E21" s="572"/>
      <c r="F21" s="574"/>
      <c r="G21" s="574"/>
      <c r="H21" s="573"/>
    </row>
    <row r="22" spans="1:8" s="461" customFormat="1" ht="30">
      <c r="A22" s="547"/>
      <c r="B22" s="579" t="s">
        <v>179</v>
      </c>
      <c r="C22" s="579" t="s">
        <v>328</v>
      </c>
      <c r="D22" s="580" t="s">
        <v>115</v>
      </c>
      <c r="E22" s="581" t="s">
        <v>255</v>
      </c>
      <c r="F22" s="583" t="s">
        <v>36</v>
      </c>
      <c r="G22" s="584"/>
      <c r="H22" s="580" t="s">
        <v>64</v>
      </c>
    </row>
    <row r="23" spans="1:8" s="461" customFormat="1" ht="31.5">
      <c r="A23" s="547"/>
      <c r="B23" s="579" t="s">
        <v>179</v>
      </c>
      <c r="C23" s="579" t="s">
        <v>425</v>
      </c>
      <c r="D23" s="580" t="s">
        <v>421</v>
      </c>
      <c r="E23" s="581" t="s">
        <v>255</v>
      </c>
      <c r="F23" s="583" t="s">
        <v>36</v>
      </c>
      <c r="G23" s="584"/>
      <c r="H23" s="580" t="s">
        <v>422</v>
      </c>
    </row>
    <row r="24" spans="1:8" s="461" customFormat="1" ht="31.5">
      <c r="A24" s="547"/>
      <c r="B24" s="579" t="s">
        <v>179</v>
      </c>
      <c r="C24" s="579" t="s">
        <v>425</v>
      </c>
      <c r="D24" s="580" t="s">
        <v>116</v>
      </c>
      <c r="E24" s="581" t="s">
        <v>255</v>
      </c>
      <c r="F24" s="583" t="s">
        <v>36</v>
      </c>
      <c r="G24" s="584"/>
      <c r="H24" s="580" t="s">
        <v>15</v>
      </c>
    </row>
    <row r="25" spans="1:8" s="461" customFormat="1" ht="31.5">
      <c r="A25" s="547"/>
      <c r="B25" s="579" t="s">
        <v>180</v>
      </c>
      <c r="C25" s="579" t="s">
        <v>425</v>
      </c>
      <c r="D25" s="580" t="s">
        <v>117</v>
      </c>
      <c r="E25" s="581" t="s">
        <v>255</v>
      </c>
      <c r="F25" s="583" t="s">
        <v>36</v>
      </c>
      <c r="G25" s="584"/>
      <c r="H25" s="580" t="s">
        <v>423</v>
      </c>
    </row>
    <row r="26" spans="1:8" s="461" customFormat="1" ht="31.5">
      <c r="A26" s="547"/>
      <c r="B26" s="579" t="s">
        <v>180</v>
      </c>
      <c r="C26" s="579" t="s">
        <v>425</v>
      </c>
      <c r="D26" s="580" t="s">
        <v>118</v>
      </c>
      <c r="E26" s="581" t="s">
        <v>254</v>
      </c>
      <c r="F26" s="583" t="s">
        <v>36</v>
      </c>
      <c r="G26" s="584"/>
      <c r="H26" s="580" t="s">
        <v>424</v>
      </c>
    </row>
    <row r="27" spans="1:8" s="461" customFormat="1" ht="52.5" customHeight="1">
      <c r="A27" s="547"/>
      <c r="B27" s="579" t="s">
        <v>181</v>
      </c>
      <c r="C27" s="579" t="s">
        <v>8</v>
      </c>
      <c r="D27" s="580" t="s">
        <v>119</v>
      </c>
      <c r="E27" s="581" t="s">
        <v>255</v>
      </c>
      <c r="F27" s="583" t="s">
        <v>36</v>
      </c>
      <c r="G27" s="584"/>
      <c r="H27" s="580" t="s">
        <v>58</v>
      </c>
    </row>
    <row r="28" spans="1:8" s="461" customFormat="1" ht="52.5" customHeight="1">
      <c r="A28" s="547"/>
      <c r="B28" s="579" t="s">
        <v>181</v>
      </c>
      <c r="C28" s="579" t="s">
        <v>425</v>
      </c>
      <c r="D28" s="580" t="s">
        <v>120</v>
      </c>
      <c r="E28" s="581" t="s">
        <v>255</v>
      </c>
      <c r="F28" s="583" t="s">
        <v>36</v>
      </c>
      <c r="G28" s="584"/>
      <c r="H28" s="580" t="s">
        <v>59</v>
      </c>
    </row>
    <row r="29" spans="1:8" s="461" customFormat="1" ht="51" customHeight="1">
      <c r="A29" s="547"/>
      <c r="B29" s="579" t="s">
        <v>233</v>
      </c>
      <c r="C29" s="579" t="s">
        <v>8</v>
      </c>
      <c r="D29" s="580" t="s">
        <v>235</v>
      </c>
      <c r="E29" s="581" t="s">
        <v>1</v>
      </c>
      <c r="F29" s="583" t="s">
        <v>36</v>
      </c>
      <c r="G29" s="584"/>
      <c r="H29" s="580" t="s">
        <v>2</v>
      </c>
    </row>
    <row r="30" spans="1:8" s="461" customFormat="1" ht="39" customHeight="1">
      <c r="A30" s="547"/>
      <c r="B30" s="579" t="s">
        <v>233</v>
      </c>
      <c r="C30" s="579" t="s">
        <v>8</v>
      </c>
      <c r="D30" s="580" t="s">
        <v>232</v>
      </c>
      <c r="E30" s="581" t="s">
        <v>1</v>
      </c>
      <c r="F30" s="583" t="s">
        <v>36</v>
      </c>
      <c r="G30" s="584"/>
      <c r="H30" s="580" t="s">
        <v>3</v>
      </c>
    </row>
    <row r="31" spans="1:8" s="461" customFormat="1" ht="51" customHeight="1">
      <c r="A31" s="547"/>
      <c r="B31" s="579" t="s">
        <v>426</v>
      </c>
      <c r="C31" s="579" t="s">
        <v>430</v>
      </c>
      <c r="D31" s="580" t="s">
        <v>4</v>
      </c>
      <c r="E31" s="581" t="s">
        <v>5</v>
      </c>
      <c r="F31" s="583" t="s">
        <v>36</v>
      </c>
      <c r="G31" s="584"/>
      <c r="H31" s="580" t="s">
        <v>6</v>
      </c>
    </row>
    <row r="32" spans="1:8" s="461" customFormat="1" ht="15.75">
      <c r="A32" s="547"/>
      <c r="B32" s="579" t="s">
        <v>7</v>
      </c>
      <c r="C32" s="579" t="s">
        <v>425</v>
      </c>
      <c r="D32" s="580" t="s">
        <v>12</v>
      </c>
      <c r="E32" s="581" t="s">
        <v>417</v>
      </c>
      <c r="F32" s="583" t="s">
        <v>36</v>
      </c>
      <c r="G32" s="584"/>
      <c r="H32" s="580" t="s">
        <v>126</v>
      </c>
    </row>
    <row r="33" spans="1:8" s="461" customFormat="1" ht="15.75">
      <c r="A33" s="547"/>
      <c r="B33" s="579" t="s">
        <v>7</v>
      </c>
      <c r="C33" s="579" t="s">
        <v>425</v>
      </c>
      <c r="D33" s="580" t="s">
        <v>9</v>
      </c>
      <c r="E33" s="581" t="s">
        <v>417</v>
      </c>
      <c r="F33" s="583" t="s">
        <v>36</v>
      </c>
      <c r="G33" s="584"/>
      <c r="H33" s="580" t="s">
        <v>126</v>
      </c>
    </row>
    <row r="34" spans="1:8" s="461" customFormat="1" ht="15.75">
      <c r="A34" s="547"/>
      <c r="B34" s="579" t="s">
        <v>7</v>
      </c>
      <c r="C34" s="579" t="s">
        <v>425</v>
      </c>
      <c r="D34" s="580" t="s">
        <v>10</v>
      </c>
      <c r="E34" s="581" t="s">
        <v>417</v>
      </c>
      <c r="F34" s="583" t="s">
        <v>36</v>
      </c>
      <c r="G34" s="584"/>
      <c r="H34" s="580" t="s">
        <v>126</v>
      </c>
    </row>
    <row r="35" spans="1:8" s="461" customFormat="1" ht="15.75">
      <c r="A35" s="547"/>
      <c r="B35" s="579" t="s">
        <v>7</v>
      </c>
      <c r="C35" s="579" t="s">
        <v>425</v>
      </c>
      <c r="D35" s="580" t="s">
        <v>11</v>
      </c>
      <c r="E35" s="581" t="s">
        <v>417</v>
      </c>
      <c r="F35" s="583" t="s">
        <v>36</v>
      </c>
      <c r="G35" s="584"/>
      <c r="H35" s="580" t="s">
        <v>126</v>
      </c>
    </row>
    <row r="36" spans="1:8" s="461" customFormat="1" ht="31.5">
      <c r="A36" s="547"/>
      <c r="B36" s="579" t="s">
        <v>13</v>
      </c>
      <c r="C36" s="579" t="s">
        <v>425</v>
      </c>
      <c r="D36" s="580" t="s">
        <v>14</v>
      </c>
      <c r="E36" s="581" t="s">
        <v>418</v>
      </c>
      <c r="F36" s="583" t="s">
        <v>36</v>
      </c>
      <c r="G36" s="584"/>
      <c r="H36" s="580" t="s">
        <v>126</v>
      </c>
    </row>
    <row r="37" spans="1:8" s="549" customFormat="1" ht="26.25" customHeight="1">
      <c r="A37" s="548"/>
      <c r="B37" s="585" t="s">
        <v>459</v>
      </c>
      <c r="C37" s="586"/>
      <c r="D37" s="586"/>
      <c r="E37" s="586"/>
      <c r="F37" s="586"/>
      <c r="G37" s="586"/>
      <c r="H37" s="587"/>
    </row>
    <row r="38" spans="1:8" s="482" customFormat="1" ht="15" customHeight="1">
      <c r="A38" s="550"/>
      <c r="B38" s="588"/>
      <c r="C38" s="589"/>
      <c r="D38" s="589"/>
      <c r="E38" s="589"/>
      <c r="F38" s="589"/>
      <c r="G38" s="589"/>
      <c r="H38" s="590"/>
    </row>
    <row r="39" spans="1:8" s="546" customFormat="1" ht="66.75" customHeight="1">
      <c r="A39" s="545" t="s">
        <v>121</v>
      </c>
      <c r="B39" s="471"/>
      <c r="C39" s="471"/>
      <c r="D39" s="472"/>
      <c r="E39" s="471"/>
      <c r="F39" s="473"/>
      <c r="G39" s="473"/>
      <c r="H39" s="472"/>
    </row>
    <row r="40" spans="1:8" s="544" customFormat="1" ht="72">
      <c r="A40" s="539"/>
      <c r="B40" s="540" t="s">
        <v>195</v>
      </c>
      <c r="C40" s="541" t="s">
        <v>460</v>
      </c>
      <c r="D40" s="542" t="s">
        <v>196</v>
      </c>
      <c r="E40" s="539" t="s">
        <v>114</v>
      </c>
      <c r="F40" s="543" t="s">
        <v>420</v>
      </c>
      <c r="G40" s="543" t="s">
        <v>0</v>
      </c>
      <c r="H40" s="542" t="s">
        <v>457</v>
      </c>
    </row>
    <row r="41" spans="1:8" s="555" customFormat="1" ht="15.75">
      <c r="A41" s="551"/>
      <c r="B41" s="552"/>
      <c r="C41" s="553"/>
      <c r="D41" s="554"/>
      <c r="E41" s="551"/>
      <c r="F41" s="570" t="s">
        <v>458</v>
      </c>
      <c r="G41" s="570"/>
      <c r="H41" s="554"/>
    </row>
    <row r="42" spans="1:8" s="461" customFormat="1" ht="15.75">
      <c r="A42" s="550"/>
      <c r="B42" s="592" t="s">
        <v>157</v>
      </c>
      <c r="C42" s="593" t="s">
        <v>425</v>
      </c>
      <c r="D42" s="580" t="s">
        <v>156</v>
      </c>
      <c r="E42" s="591" t="s">
        <v>122</v>
      </c>
      <c r="F42" s="583" t="s">
        <v>36</v>
      </c>
      <c r="G42" s="594"/>
      <c r="H42" s="580" t="s">
        <v>161</v>
      </c>
    </row>
    <row r="43" spans="1:8" s="461" customFormat="1" ht="15.75">
      <c r="A43" s="550"/>
      <c r="B43" s="592" t="s">
        <v>157</v>
      </c>
      <c r="C43" s="593" t="s">
        <v>425</v>
      </c>
      <c r="D43" s="580" t="s">
        <v>156</v>
      </c>
      <c r="E43" s="591" t="s">
        <v>122</v>
      </c>
      <c r="F43" s="583" t="s">
        <v>36</v>
      </c>
      <c r="G43" s="594"/>
      <c r="H43" s="580" t="s">
        <v>17</v>
      </c>
    </row>
    <row r="44" spans="1:8" s="461" customFormat="1" ht="31.5">
      <c r="A44" s="547"/>
      <c r="B44" s="592" t="s">
        <v>44</v>
      </c>
      <c r="C44" s="593" t="s">
        <v>425</v>
      </c>
      <c r="D44" s="580" t="s">
        <v>65</v>
      </c>
      <c r="E44" s="581" t="s">
        <v>123</v>
      </c>
      <c r="F44" s="583" t="s">
        <v>36</v>
      </c>
      <c r="G44" s="584"/>
      <c r="H44" s="580" t="s">
        <v>16</v>
      </c>
    </row>
    <row r="45" spans="1:8" s="461" customFormat="1" ht="31.5">
      <c r="A45" s="547"/>
      <c r="B45" s="592" t="s">
        <v>44</v>
      </c>
      <c r="C45" s="593" t="s">
        <v>425</v>
      </c>
      <c r="D45" s="580" t="s">
        <v>65</v>
      </c>
      <c r="E45" s="581" t="s">
        <v>123</v>
      </c>
      <c r="F45" s="583" t="s">
        <v>36</v>
      </c>
      <c r="G45" s="584"/>
      <c r="H45" s="581" t="s">
        <v>18</v>
      </c>
    </row>
    <row r="46" spans="1:8" s="461" customFormat="1" ht="31.5">
      <c r="A46" s="547"/>
      <c r="B46" s="592" t="s">
        <v>45</v>
      </c>
      <c r="C46" s="593" t="s">
        <v>425</v>
      </c>
      <c r="D46" s="580" t="s">
        <v>158</v>
      </c>
      <c r="E46" s="581" t="s">
        <v>123</v>
      </c>
      <c r="F46" s="583" t="s">
        <v>36</v>
      </c>
      <c r="G46" s="594"/>
      <c r="H46" s="581" t="s">
        <v>21</v>
      </c>
    </row>
    <row r="47" spans="1:8" s="461" customFormat="1" ht="31.5">
      <c r="A47" s="547"/>
      <c r="B47" s="592" t="s">
        <v>45</v>
      </c>
      <c r="C47" s="593" t="s">
        <v>425</v>
      </c>
      <c r="D47" s="580" t="s">
        <v>20</v>
      </c>
      <c r="E47" s="581" t="s">
        <v>123</v>
      </c>
      <c r="F47" s="583" t="s">
        <v>36</v>
      </c>
      <c r="G47" s="594"/>
      <c r="H47" s="581" t="s">
        <v>19</v>
      </c>
    </row>
    <row r="48" spans="1:8" s="461" customFormat="1" ht="45">
      <c r="A48" s="547"/>
      <c r="B48" s="592" t="s">
        <v>22</v>
      </c>
      <c r="C48" s="593" t="s">
        <v>425</v>
      </c>
      <c r="D48" s="580" t="s">
        <v>410</v>
      </c>
      <c r="E48" s="581" t="s">
        <v>124</v>
      </c>
      <c r="F48" s="583" t="s">
        <v>36</v>
      </c>
      <c r="G48" s="594"/>
      <c r="H48" s="581" t="s">
        <v>24</v>
      </c>
    </row>
    <row r="49" spans="1:8" s="461" customFormat="1" ht="45">
      <c r="A49" s="547"/>
      <c r="B49" s="592" t="s">
        <v>199</v>
      </c>
      <c r="C49" s="593" t="s">
        <v>425</v>
      </c>
      <c r="D49" s="580" t="s">
        <v>410</v>
      </c>
      <c r="E49" s="581" t="s">
        <v>124</v>
      </c>
      <c r="F49" s="583" t="s">
        <v>36</v>
      </c>
      <c r="G49" s="594"/>
      <c r="H49" s="581" t="s">
        <v>409</v>
      </c>
    </row>
    <row r="50" spans="1:8" s="461" customFormat="1" ht="31.5">
      <c r="A50" s="547"/>
      <c r="B50" s="592" t="s">
        <v>199</v>
      </c>
      <c r="C50" s="593" t="s">
        <v>425</v>
      </c>
      <c r="D50" s="580" t="s">
        <v>411</v>
      </c>
      <c r="E50" s="581" t="s">
        <v>124</v>
      </c>
      <c r="F50" s="583" t="s">
        <v>36</v>
      </c>
      <c r="G50" s="594"/>
      <c r="H50" s="581" t="s">
        <v>163</v>
      </c>
    </row>
    <row r="51" spans="1:8" s="461" customFormat="1" ht="31.5">
      <c r="A51" s="547"/>
      <c r="B51" s="592" t="s">
        <v>199</v>
      </c>
      <c r="C51" s="593" t="s">
        <v>425</v>
      </c>
      <c r="D51" s="580" t="s">
        <v>411</v>
      </c>
      <c r="E51" s="581" t="s">
        <v>124</v>
      </c>
      <c r="F51" s="583" t="s">
        <v>36</v>
      </c>
      <c r="G51" s="594"/>
      <c r="H51" s="581" t="s">
        <v>162</v>
      </c>
    </row>
    <row r="52" spans="1:8" s="461" customFormat="1" ht="31.5">
      <c r="A52" s="550"/>
      <c r="B52" s="592" t="s">
        <v>199</v>
      </c>
      <c r="C52" s="593" t="s">
        <v>425</v>
      </c>
      <c r="D52" s="580" t="s">
        <v>412</v>
      </c>
      <c r="E52" s="591" t="s">
        <v>124</v>
      </c>
      <c r="F52" s="583" t="s">
        <v>36</v>
      </c>
      <c r="G52" s="594"/>
      <c r="H52" s="580" t="s">
        <v>163</v>
      </c>
    </row>
    <row r="53" spans="1:8" s="461" customFormat="1" ht="31.5">
      <c r="A53" s="550"/>
      <c r="B53" s="592" t="s">
        <v>199</v>
      </c>
      <c r="C53" s="593" t="s">
        <v>425</v>
      </c>
      <c r="D53" s="580" t="s">
        <v>412</v>
      </c>
      <c r="E53" s="581" t="s">
        <v>124</v>
      </c>
      <c r="F53" s="583" t="s">
        <v>36</v>
      </c>
      <c r="G53" s="594"/>
      <c r="H53" s="581" t="s">
        <v>162</v>
      </c>
    </row>
    <row r="54" spans="1:8" s="461" customFormat="1" ht="31.5">
      <c r="A54" s="547"/>
      <c r="B54" s="592" t="s">
        <v>23</v>
      </c>
      <c r="C54" s="593" t="s">
        <v>425</v>
      </c>
      <c r="D54" s="580" t="s">
        <v>413</v>
      </c>
      <c r="E54" s="581" t="s">
        <v>124</v>
      </c>
      <c r="F54" s="583" t="s">
        <v>36</v>
      </c>
      <c r="G54" s="594"/>
      <c r="H54" s="581" t="s">
        <v>163</v>
      </c>
    </row>
    <row r="55" spans="1:8" s="461" customFormat="1" ht="31.5">
      <c r="A55" s="547"/>
      <c r="B55" s="592" t="s">
        <v>199</v>
      </c>
      <c r="C55" s="593" t="s">
        <v>425</v>
      </c>
      <c r="D55" s="580" t="s">
        <v>413</v>
      </c>
      <c r="E55" s="581" t="s">
        <v>124</v>
      </c>
      <c r="F55" s="583" t="s">
        <v>36</v>
      </c>
      <c r="G55" s="594"/>
      <c r="H55" s="581" t="s">
        <v>171</v>
      </c>
    </row>
    <row r="56" spans="1:8" s="461" customFormat="1" ht="45">
      <c r="A56" s="547"/>
      <c r="B56" s="592" t="s">
        <v>46</v>
      </c>
      <c r="C56" s="593" t="s">
        <v>425</v>
      </c>
      <c r="D56" s="580" t="s">
        <v>414</v>
      </c>
      <c r="E56" s="581" t="s">
        <v>122</v>
      </c>
      <c r="F56" s="583" t="s">
        <v>36</v>
      </c>
      <c r="G56" s="594"/>
      <c r="H56" s="581" t="s">
        <v>163</v>
      </c>
    </row>
    <row r="57" spans="1:8" s="461" customFormat="1" ht="31.5">
      <c r="A57" s="547"/>
      <c r="B57" s="592" t="s">
        <v>47</v>
      </c>
      <c r="C57" s="593" t="s">
        <v>425</v>
      </c>
      <c r="D57" s="580" t="s">
        <v>415</v>
      </c>
      <c r="E57" s="581" t="s">
        <v>122</v>
      </c>
      <c r="F57" s="583" t="s">
        <v>36</v>
      </c>
      <c r="G57" s="594"/>
      <c r="H57" s="581" t="s">
        <v>163</v>
      </c>
    </row>
    <row r="58" spans="1:8" s="461" customFormat="1" ht="31.5">
      <c r="A58" s="547"/>
      <c r="B58" s="592" t="s">
        <v>47</v>
      </c>
      <c r="C58" s="593" t="s">
        <v>425</v>
      </c>
      <c r="D58" s="580" t="s">
        <v>416</v>
      </c>
      <c r="E58" s="581" t="s">
        <v>122</v>
      </c>
      <c r="F58" s="583" t="s">
        <v>36</v>
      </c>
      <c r="G58" s="594"/>
      <c r="H58" s="581" t="s">
        <v>163</v>
      </c>
    </row>
    <row r="59" spans="1:8" s="461" customFormat="1" ht="45">
      <c r="A59" s="547"/>
      <c r="B59" s="592" t="s">
        <v>22</v>
      </c>
      <c r="C59" s="593" t="s">
        <v>425</v>
      </c>
      <c r="D59" s="580" t="s">
        <v>25</v>
      </c>
      <c r="E59" s="581" t="s">
        <v>124</v>
      </c>
      <c r="F59" s="583" t="s">
        <v>36</v>
      </c>
      <c r="G59" s="594"/>
      <c r="H59" s="581" t="s">
        <v>24</v>
      </c>
    </row>
    <row r="60" spans="1:8" s="461" customFormat="1" ht="31.5">
      <c r="A60" s="547"/>
      <c r="B60" s="592" t="s">
        <v>199</v>
      </c>
      <c r="C60" s="593" t="s">
        <v>425</v>
      </c>
      <c r="D60" s="580" t="s">
        <v>26</v>
      </c>
      <c r="E60" s="581" t="s">
        <v>124</v>
      </c>
      <c r="F60" s="583" t="s">
        <v>36</v>
      </c>
      <c r="G60" s="594"/>
      <c r="H60" s="581" t="s">
        <v>163</v>
      </c>
    </row>
    <row r="61" spans="1:8" s="461" customFormat="1" ht="31.5">
      <c r="A61" s="547"/>
      <c r="B61" s="592" t="s">
        <v>23</v>
      </c>
      <c r="C61" s="593" t="s">
        <v>425</v>
      </c>
      <c r="D61" s="580" t="s">
        <v>27</v>
      </c>
      <c r="E61" s="581" t="s">
        <v>124</v>
      </c>
      <c r="F61" s="583" t="s">
        <v>36</v>
      </c>
      <c r="G61" s="594"/>
      <c r="H61" s="581" t="s">
        <v>163</v>
      </c>
    </row>
    <row r="62" spans="1:8" s="461" customFormat="1" ht="45">
      <c r="A62" s="547"/>
      <c r="B62" s="592" t="s">
        <v>32</v>
      </c>
      <c r="C62" s="593" t="s">
        <v>425</v>
      </c>
      <c r="D62" s="580" t="s">
        <v>29</v>
      </c>
      <c r="E62" s="581" t="s">
        <v>124</v>
      </c>
      <c r="F62" s="583" t="s">
        <v>36</v>
      </c>
      <c r="G62" s="594"/>
      <c r="H62" s="581" t="s">
        <v>24</v>
      </c>
    </row>
    <row r="63" spans="1:8" s="461" customFormat="1" ht="30">
      <c r="A63" s="547"/>
      <c r="B63" s="592" t="s">
        <v>33</v>
      </c>
      <c r="C63" s="593" t="s">
        <v>425</v>
      </c>
      <c r="D63" s="580" t="s">
        <v>30</v>
      </c>
      <c r="E63" s="581" t="s">
        <v>124</v>
      </c>
      <c r="F63" s="583" t="s">
        <v>36</v>
      </c>
      <c r="G63" s="594"/>
      <c r="H63" s="581" t="s">
        <v>163</v>
      </c>
    </row>
    <row r="64" spans="1:8" s="461" customFormat="1" ht="30">
      <c r="A64" s="547"/>
      <c r="B64" s="592" t="s">
        <v>34</v>
      </c>
      <c r="C64" s="593" t="s">
        <v>425</v>
      </c>
      <c r="D64" s="580" t="s">
        <v>31</v>
      </c>
      <c r="E64" s="581" t="s">
        <v>124</v>
      </c>
      <c r="F64" s="583" t="s">
        <v>36</v>
      </c>
      <c r="G64" s="594"/>
      <c r="H64" s="581" t="s">
        <v>163</v>
      </c>
    </row>
    <row r="65" spans="1:8" s="461" customFormat="1" ht="45">
      <c r="A65" s="550"/>
      <c r="B65" s="592" t="s">
        <v>28</v>
      </c>
      <c r="C65" s="593" t="s">
        <v>430</v>
      </c>
      <c r="D65" s="581" t="s">
        <v>435</v>
      </c>
      <c r="E65" s="591" t="s">
        <v>35</v>
      </c>
      <c r="F65" s="583" t="s">
        <v>36</v>
      </c>
      <c r="G65" s="594"/>
      <c r="H65" s="581" t="s">
        <v>436</v>
      </c>
    </row>
    <row r="66" spans="1:8" s="546" customFormat="1" ht="50.25" customHeight="1">
      <c r="A66" s="545" t="s">
        <v>427</v>
      </c>
      <c r="B66" s="471"/>
      <c r="C66" s="471"/>
      <c r="D66" s="472"/>
      <c r="E66" s="471"/>
      <c r="F66" s="473"/>
      <c r="G66" s="473"/>
      <c r="H66" s="472"/>
    </row>
    <row r="67" spans="1:8" s="544" customFormat="1" ht="72">
      <c r="A67" s="539"/>
      <c r="B67" s="540" t="s">
        <v>195</v>
      </c>
      <c r="C67" s="541" t="s">
        <v>460</v>
      </c>
      <c r="D67" s="542" t="s">
        <v>196</v>
      </c>
      <c r="E67" s="539" t="s">
        <v>114</v>
      </c>
      <c r="F67" s="543" t="s">
        <v>420</v>
      </c>
      <c r="G67" s="543" t="s">
        <v>0</v>
      </c>
      <c r="H67" s="542" t="s">
        <v>457</v>
      </c>
    </row>
    <row r="68" spans="1:8" s="555" customFormat="1" ht="15.75">
      <c r="A68" s="551"/>
      <c r="B68" s="552"/>
      <c r="C68" s="553"/>
      <c r="D68" s="554"/>
      <c r="E68" s="551"/>
      <c r="F68" s="570" t="s">
        <v>458</v>
      </c>
      <c r="G68" s="570"/>
      <c r="H68" s="554"/>
    </row>
    <row r="69" spans="1:8" s="482" customFormat="1" ht="30">
      <c r="A69" s="466"/>
      <c r="B69" s="592" t="s">
        <v>419</v>
      </c>
      <c r="C69" s="593" t="s">
        <v>430</v>
      </c>
      <c r="D69" s="580" t="s">
        <v>429</v>
      </c>
      <c r="E69" s="591" t="s">
        <v>428</v>
      </c>
      <c r="F69" s="583" t="s">
        <v>36</v>
      </c>
      <c r="G69" s="594"/>
      <c r="H69" s="580" t="s">
        <v>431</v>
      </c>
    </row>
    <row r="70" spans="1:8" s="482" customFormat="1" ht="30">
      <c r="A70" s="466"/>
      <c r="B70" s="592" t="s">
        <v>432</v>
      </c>
      <c r="C70" s="593" t="s">
        <v>430</v>
      </c>
      <c r="D70" s="580" t="s">
        <v>433</v>
      </c>
      <c r="E70" s="591" t="s">
        <v>428</v>
      </c>
      <c r="F70" s="583" t="s">
        <v>36</v>
      </c>
      <c r="G70" s="594"/>
      <c r="H70" s="580" t="s">
        <v>434</v>
      </c>
    </row>
    <row r="71" spans="1:8" s="546" customFormat="1" ht="40.5" customHeight="1">
      <c r="A71" s="545" t="s">
        <v>231</v>
      </c>
      <c r="B71" s="471"/>
      <c r="C71" s="471"/>
      <c r="D71" s="472"/>
      <c r="E71" s="471"/>
      <c r="F71" s="473"/>
      <c r="G71" s="473"/>
      <c r="H71" s="472"/>
    </row>
    <row r="72" spans="1:8" s="544" customFormat="1" ht="72">
      <c r="A72" s="539"/>
      <c r="B72" s="540" t="s">
        <v>195</v>
      </c>
      <c r="C72" s="541"/>
      <c r="D72" s="542" t="s">
        <v>196</v>
      </c>
      <c r="E72" s="539" t="s">
        <v>114</v>
      </c>
      <c r="F72" s="543" t="s">
        <v>420</v>
      </c>
      <c r="G72" s="543" t="s">
        <v>0</v>
      </c>
      <c r="H72" s="542" t="s">
        <v>457</v>
      </c>
    </row>
    <row r="73" spans="1:8" s="555" customFormat="1" ht="15.75">
      <c r="A73" s="551"/>
      <c r="B73" s="552"/>
      <c r="C73" s="553"/>
      <c r="D73" s="554"/>
      <c r="E73" s="551"/>
      <c r="F73" s="570" t="s">
        <v>458</v>
      </c>
      <c r="G73" s="570"/>
      <c r="H73" s="554"/>
    </row>
    <row r="74" spans="1:8" s="482" customFormat="1" ht="31.5">
      <c r="A74" s="547"/>
      <c r="B74" s="592" t="s">
        <v>48</v>
      </c>
      <c r="C74" s="593" t="s">
        <v>425</v>
      </c>
      <c r="D74" s="581" t="s">
        <v>236</v>
      </c>
      <c r="E74" s="581" t="s">
        <v>348</v>
      </c>
      <c r="F74" s="583" t="s">
        <v>36</v>
      </c>
      <c r="G74" s="594"/>
      <c r="H74" s="581" t="s">
        <v>354</v>
      </c>
    </row>
    <row r="75" spans="1:8" s="482" customFormat="1" ht="31.5">
      <c r="A75" s="547"/>
      <c r="B75" s="592" t="s">
        <v>49</v>
      </c>
      <c r="C75" s="593" t="s">
        <v>425</v>
      </c>
      <c r="D75" s="581" t="s">
        <v>240</v>
      </c>
      <c r="E75" s="581" t="s">
        <v>348</v>
      </c>
      <c r="F75" s="583" t="s">
        <v>36</v>
      </c>
      <c r="G75" s="594"/>
      <c r="H75" s="581" t="s">
        <v>355</v>
      </c>
    </row>
    <row r="76" spans="1:8" s="482" customFormat="1" ht="31.5">
      <c r="A76" s="547"/>
      <c r="B76" s="592" t="s">
        <v>50</v>
      </c>
      <c r="C76" s="593" t="s">
        <v>425</v>
      </c>
      <c r="D76" s="581" t="s">
        <v>242</v>
      </c>
      <c r="E76" s="581" t="s">
        <v>348</v>
      </c>
      <c r="F76" s="583" t="s">
        <v>36</v>
      </c>
      <c r="G76" s="594"/>
      <c r="H76" s="581" t="s">
        <v>355</v>
      </c>
    </row>
    <row r="77" spans="1:8" s="482" customFormat="1" ht="31.5">
      <c r="A77" s="547"/>
      <c r="B77" s="592" t="s">
        <v>51</v>
      </c>
      <c r="C77" s="593"/>
      <c r="D77" s="581" t="s">
        <v>250</v>
      </c>
      <c r="E77" s="581" t="s">
        <v>351</v>
      </c>
      <c r="F77" s="583" t="s">
        <v>36</v>
      </c>
      <c r="G77" s="594"/>
      <c r="H77" s="581" t="s">
        <v>362</v>
      </c>
    </row>
    <row r="78" spans="1:8" s="482" customFormat="1" ht="47.25">
      <c r="A78" s="547"/>
      <c r="B78" s="592" t="s">
        <v>52</v>
      </c>
      <c r="C78" s="593" t="s">
        <v>328</v>
      </c>
      <c r="D78" s="581" t="s">
        <v>244</v>
      </c>
      <c r="E78" s="581" t="s">
        <v>348</v>
      </c>
      <c r="F78" s="583" t="s">
        <v>36</v>
      </c>
      <c r="G78" s="594"/>
      <c r="H78" s="580" t="s">
        <v>406</v>
      </c>
    </row>
    <row r="79" spans="1:8" s="482" customFormat="1" ht="47.25">
      <c r="A79" s="547"/>
      <c r="B79" s="592" t="s">
        <v>53</v>
      </c>
      <c r="C79" s="593" t="s">
        <v>328</v>
      </c>
      <c r="D79" s="581" t="s">
        <v>246</v>
      </c>
      <c r="E79" s="581" t="s">
        <v>349</v>
      </c>
      <c r="F79" s="583" t="s">
        <v>36</v>
      </c>
      <c r="G79" s="594"/>
      <c r="H79" s="581" t="s">
        <v>37</v>
      </c>
    </row>
    <row r="80" spans="1:8" s="482" customFormat="1" ht="47.25">
      <c r="A80" s="547"/>
      <c r="B80" s="592" t="s">
        <v>54</v>
      </c>
      <c r="C80" s="593"/>
      <c r="D80" s="581" t="s">
        <v>248</v>
      </c>
      <c r="E80" s="581" t="s">
        <v>350</v>
      </c>
      <c r="F80" s="583" t="s">
        <v>36</v>
      </c>
      <c r="G80" s="594"/>
      <c r="H80" s="581" t="s">
        <v>407</v>
      </c>
    </row>
    <row r="81" spans="1:8" s="482" customFormat="1" ht="31.5">
      <c r="A81" s="547"/>
      <c r="B81" s="592" t="s">
        <v>55</v>
      </c>
      <c r="C81" s="593"/>
      <c r="D81" s="581" t="s">
        <v>253</v>
      </c>
      <c r="E81" s="581" t="s">
        <v>351</v>
      </c>
      <c r="F81" s="583" t="s">
        <v>36</v>
      </c>
      <c r="G81" s="594"/>
      <c r="H81" s="580" t="s">
        <v>408</v>
      </c>
    </row>
    <row r="82" spans="1:8" s="482" customFormat="1" ht="30.75" customHeight="1">
      <c r="A82" s="465"/>
      <c r="B82" s="463"/>
      <c r="C82" s="464"/>
      <c r="D82" s="465"/>
      <c r="E82" s="465"/>
      <c r="F82" s="467"/>
      <c r="G82" s="467"/>
      <c r="H82" s="462"/>
    </row>
    <row r="83" spans="1:8" s="544" customFormat="1" ht="72">
      <c r="A83" s="539"/>
      <c r="B83" s="540" t="s">
        <v>195</v>
      </c>
      <c r="C83" s="541" t="s">
        <v>460</v>
      </c>
      <c r="D83" s="542" t="s">
        <v>196</v>
      </c>
      <c r="E83" s="539" t="s">
        <v>114</v>
      </c>
      <c r="F83" s="543" t="s">
        <v>420</v>
      </c>
      <c r="G83" s="543" t="s">
        <v>0</v>
      </c>
      <c r="H83" s="542" t="s">
        <v>457</v>
      </c>
    </row>
    <row r="84" spans="1:8" s="555" customFormat="1" ht="15.75">
      <c r="A84" s="551"/>
      <c r="B84" s="552"/>
      <c r="C84" s="553"/>
      <c r="D84" s="554"/>
      <c r="E84" s="551"/>
      <c r="F84" s="570" t="s">
        <v>458</v>
      </c>
      <c r="G84" s="570"/>
      <c r="H84" s="554"/>
    </row>
    <row r="85" spans="1:8" s="546" customFormat="1" ht="34.5" customHeight="1">
      <c r="A85" s="545" t="s">
        <v>437</v>
      </c>
      <c r="B85" s="471"/>
      <c r="C85" s="471"/>
      <c r="D85" s="472"/>
      <c r="E85" s="471"/>
      <c r="F85" s="473"/>
      <c r="G85" s="473"/>
      <c r="H85" s="472"/>
    </row>
    <row r="86" spans="1:8" s="482" customFormat="1" ht="15.75">
      <c r="A86" s="466"/>
      <c r="B86" s="592" t="s">
        <v>184</v>
      </c>
      <c r="C86" s="593" t="s">
        <v>451</v>
      </c>
      <c r="D86" s="580" t="s">
        <v>185</v>
      </c>
      <c r="E86" s="591" t="s">
        <v>201</v>
      </c>
      <c r="F86" s="595" t="s">
        <v>60</v>
      </c>
      <c r="G86" s="596" t="s">
        <v>61</v>
      </c>
      <c r="H86" s="580" t="s">
        <v>186</v>
      </c>
    </row>
    <row r="87" spans="1:8" s="482" customFormat="1" ht="15.75">
      <c r="A87" s="466"/>
      <c r="B87" s="592" t="s">
        <v>184</v>
      </c>
      <c r="C87" s="593" t="s">
        <v>451</v>
      </c>
      <c r="D87" s="580" t="s">
        <v>187</v>
      </c>
      <c r="E87" s="591" t="s">
        <v>201</v>
      </c>
      <c r="F87" s="583" t="s">
        <v>36</v>
      </c>
      <c r="G87" s="594"/>
      <c r="H87" s="580" t="s">
        <v>165</v>
      </c>
    </row>
    <row r="88" spans="1:8" s="482" customFormat="1" ht="15.75">
      <c r="A88" s="466"/>
      <c r="B88" s="592" t="s">
        <v>38</v>
      </c>
      <c r="C88" s="593" t="s">
        <v>425</v>
      </c>
      <c r="D88" s="580" t="s">
        <v>39</v>
      </c>
      <c r="E88" s="591" t="s">
        <v>201</v>
      </c>
      <c r="F88" s="583" t="s">
        <v>36</v>
      </c>
      <c r="G88" s="594"/>
      <c r="H88" s="580" t="s">
        <v>186</v>
      </c>
    </row>
    <row r="89" spans="1:8" s="546" customFormat="1" ht="51.75" customHeight="1">
      <c r="A89" s="545" t="s">
        <v>438</v>
      </c>
      <c r="B89" s="471"/>
      <c r="C89" s="471"/>
      <c r="D89" s="472"/>
      <c r="E89" s="471"/>
      <c r="F89" s="473"/>
      <c r="G89" s="473"/>
      <c r="H89" s="472"/>
    </row>
    <row r="90" spans="1:8" s="482" customFormat="1" ht="45">
      <c r="A90" s="466"/>
      <c r="B90" s="592" t="s">
        <v>188</v>
      </c>
      <c r="C90" s="593" t="s">
        <v>425</v>
      </c>
      <c r="D90" s="580" t="s">
        <v>189</v>
      </c>
      <c r="E90" s="591" t="s">
        <v>439</v>
      </c>
      <c r="F90" s="583" t="s">
        <v>36</v>
      </c>
      <c r="G90" s="594"/>
      <c r="H90" s="580" t="s">
        <v>63</v>
      </c>
    </row>
    <row r="91" spans="1:8" s="482" customFormat="1" ht="15.75">
      <c r="A91" s="466"/>
      <c r="B91" s="592" t="s">
        <v>440</v>
      </c>
      <c r="C91" s="593" t="s">
        <v>335</v>
      </c>
      <c r="D91" s="580" t="s">
        <v>441</v>
      </c>
      <c r="E91" s="591" t="s">
        <v>442</v>
      </c>
      <c r="F91" s="583" t="s">
        <v>36</v>
      </c>
      <c r="G91" s="594"/>
      <c r="H91" s="580" t="s">
        <v>443</v>
      </c>
    </row>
    <row r="92" spans="1:8" s="482" customFormat="1" ht="15.75">
      <c r="A92" s="466"/>
      <c r="B92" s="592" t="s">
        <v>445</v>
      </c>
      <c r="C92" s="593" t="s">
        <v>335</v>
      </c>
      <c r="D92" s="580" t="s">
        <v>444</v>
      </c>
      <c r="E92" s="591" t="s">
        <v>442</v>
      </c>
      <c r="F92" s="583" t="s">
        <v>36</v>
      </c>
      <c r="G92" s="594"/>
      <c r="H92" s="580" t="s">
        <v>446</v>
      </c>
    </row>
    <row r="93" spans="1:8" s="482" customFormat="1" ht="30">
      <c r="A93" s="466"/>
      <c r="B93" s="592" t="s">
        <v>447</v>
      </c>
      <c r="C93" s="593" t="s">
        <v>451</v>
      </c>
      <c r="D93" s="580" t="s">
        <v>448</v>
      </c>
      <c r="E93" s="591" t="s">
        <v>449</v>
      </c>
      <c r="F93" s="583" t="s">
        <v>36</v>
      </c>
      <c r="G93" s="594"/>
      <c r="H93" s="580" t="s">
        <v>450</v>
      </c>
    </row>
    <row r="94" spans="1:8" s="482" customFormat="1" ht="30">
      <c r="A94" s="466"/>
      <c r="B94" s="592" t="s">
        <v>452</v>
      </c>
      <c r="C94" s="593" t="s">
        <v>451</v>
      </c>
      <c r="D94" s="580" t="s">
        <v>453</v>
      </c>
      <c r="E94" s="591" t="s">
        <v>449</v>
      </c>
      <c r="F94" s="583" t="s">
        <v>36</v>
      </c>
      <c r="G94" s="594"/>
      <c r="H94" s="580" t="s">
        <v>454</v>
      </c>
    </row>
    <row r="95" spans="1:8" s="482" customFormat="1" ht="30">
      <c r="A95" s="466"/>
      <c r="B95" s="592" t="s">
        <v>455</v>
      </c>
      <c r="C95" s="593" t="s">
        <v>451</v>
      </c>
      <c r="D95" s="580" t="s">
        <v>456</v>
      </c>
      <c r="E95" s="591" t="s">
        <v>449</v>
      </c>
      <c r="F95" s="583" t="s">
        <v>36</v>
      </c>
      <c r="G95" s="594"/>
      <c r="H95" s="580" t="s">
        <v>454</v>
      </c>
    </row>
    <row r="96" spans="1:8" s="546" customFormat="1" ht="36" customHeight="1">
      <c r="A96" s="545" t="s">
        <v>192</v>
      </c>
      <c r="B96" s="471"/>
      <c r="C96" s="471"/>
      <c r="D96" s="472"/>
      <c r="E96" s="471"/>
      <c r="F96" s="473"/>
      <c r="G96" s="473"/>
      <c r="H96" s="472"/>
    </row>
    <row r="97" spans="1:8" s="482" customFormat="1" ht="15.75">
      <c r="A97" s="466"/>
      <c r="B97" s="592" t="s">
        <v>40</v>
      </c>
      <c r="C97" s="593" t="s">
        <v>451</v>
      </c>
      <c r="D97" s="580"/>
      <c r="E97" s="591" t="s">
        <v>193</v>
      </c>
      <c r="F97" s="583" t="s">
        <v>36</v>
      </c>
      <c r="G97" s="594"/>
      <c r="H97" s="580" t="s">
        <v>42</v>
      </c>
    </row>
    <row r="98" spans="1:8" s="482" customFormat="1" ht="15.75">
      <c r="A98" s="466"/>
      <c r="B98" s="592" t="s">
        <v>40</v>
      </c>
      <c r="C98" s="593" t="s">
        <v>451</v>
      </c>
      <c r="D98" s="580"/>
      <c r="E98" s="591" t="s">
        <v>193</v>
      </c>
      <c r="F98" s="583" t="s">
        <v>36</v>
      </c>
      <c r="G98" s="594"/>
      <c r="H98" s="580" t="s">
        <v>41</v>
      </c>
    </row>
    <row r="99" spans="1:8" s="546" customFormat="1" ht="47.25" customHeight="1">
      <c r="A99" s="545" t="s">
        <v>125</v>
      </c>
      <c r="B99" s="471"/>
      <c r="C99" s="471"/>
      <c r="D99" s="472"/>
      <c r="E99" s="471"/>
      <c r="F99" s="473"/>
      <c r="G99" s="473"/>
      <c r="H99" s="472"/>
    </row>
    <row r="100" spans="1:8" s="482" customFormat="1" ht="15.75">
      <c r="A100" s="466"/>
      <c r="B100" s="592" t="s">
        <v>177</v>
      </c>
      <c r="C100" s="593"/>
      <c r="D100" s="597"/>
      <c r="E100" s="598"/>
      <c r="F100" s="582"/>
      <c r="G100" s="582"/>
      <c r="H100" s="597"/>
    </row>
    <row r="101" spans="1:8" s="482" customFormat="1" ht="15.75">
      <c r="A101" s="466"/>
      <c r="B101" s="592" t="s">
        <v>178</v>
      </c>
      <c r="C101" s="593"/>
      <c r="D101" s="597"/>
      <c r="E101" s="598"/>
      <c r="F101" s="582"/>
      <c r="G101" s="582"/>
      <c r="H101" s="597"/>
    </row>
    <row r="102" spans="1:8" s="482" customFormat="1" ht="15.75">
      <c r="A102" s="466"/>
      <c r="B102" s="599" t="s">
        <v>126</v>
      </c>
      <c r="C102" s="600"/>
      <c r="D102" s="597"/>
      <c r="E102" s="598"/>
      <c r="F102" s="601"/>
      <c r="G102" s="601"/>
      <c r="H102" s="597"/>
    </row>
    <row r="103" spans="2:8" s="482" customFormat="1" ht="15">
      <c r="B103" s="556"/>
      <c r="D103" s="556"/>
      <c r="E103" s="557"/>
      <c r="F103" s="558"/>
      <c r="G103" s="558"/>
      <c r="H103" s="556"/>
    </row>
    <row r="104" spans="1:8" s="482" customFormat="1" ht="15.75">
      <c r="A104" s="555" t="s">
        <v>202</v>
      </c>
      <c r="B104" s="556"/>
      <c r="D104" s="556"/>
      <c r="E104" s="557"/>
      <c r="F104" s="558"/>
      <c r="G104" s="558"/>
      <c r="H104" s="556"/>
    </row>
    <row r="105" spans="1:8" s="482" customFormat="1" ht="15.75">
      <c r="A105" s="555" t="s">
        <v>56</v>
      </c>
      <c r="B105" s="556"/>
      <c r="D105" s="556"/>
      <c r="E105" s="557"/>
      <c r="F105" s="558"/>
      <c r="G105" s="558"/>
      <c r="H105" s="556"/>
    </row>
    <row r="106" spans="1:8" s="482" customFormat="1" ht="15.75">
      <c r="A106" s="555" t="s">
        <v>204</v>
      </c>
      <c r="B106" s="556"/>
      <c r="D106" s="556"/>
      <c r="E106" s="557"/>
      <c r="F106" s="558"/>
      <c r="G106" s="558"/>
      <c r="H106" s="556"/>
    </row>
    <row r="107" spans="1:8" s="482" customFormat="1" ht="15.75">
      <c r="A107" s="555" t="s">
        <v>205</v>
      </c>
      <c r="B107" s="556"/>
      <c r="D107" s="556"/>
      <c r="E107" s="557"/>
      <c r="F107" s="558"/>
      <c r="G107" s="558"/>
      <c r="H107" s="556"/>
    </row>
    <row r="108" spans="2:8" s="482" customFormat="1" ht="15">
      <c r="B108" s="556"/>
      <c r="D108" s="556"/>
      <c r="E108" s="557"/>
      <c r="F108" s="558"/>
      <c r="G108" s="558"/>
      <c r="H108" s="556"/>
    </row>
    <row r="109" spans="2:8" s="482" customFormat="1" ht="15.75">
      <c r="B109" s="559" t="s">
        <v>220</v>
      </c>
      <c r="C109" s="559"/>
      <c r="D109" s="556"/>
      <c r="E109" s="557"/>
      <c r="F109" s="558"/>
      <c r="G109" s="558"/>
      <c r="H109" s="556"/>
    </row>
    <row r="110" spans="2:8" s="482" customFormat="1" ht="15">
      <c r="B110" s="531" t="s">
        <v>222</v>
      </c>
      <c r="C110" s="531"/>
      <c r="D110" s="531"/>
      <c r="E110" s="531"/>
      <c r="F110" s="531"/>
      <c r="G110" s="531"/>
      <c r="H110" s="531"/>
    </row>
    <row r="111" spans="2:8" s="482" customFormat="1" ht="39" customHeight="1">
      <c r="B111" s="531" t="s">
        <v>223</v>
      </c>
      <c r="C111" s="531"/>
      <c r="D111" s="531"/>
      <c r="E111" s="531"/>
      <c r="F111" s="531"/>
      <c r="G111" s="531"/>
      <c r="H111" s="531"/>
    </row>
    <row r="112" spans="2:8" s="482" customFormat="1" ht="15">
      <c r="B112" s="531" t="s">
        <v>206</v>
      </c>
      <c r="C112" s="531"/>
      <c r="D112" s="531"/>
      <c r="E112" s="531"/>
      <c r="F112" s="531"/>
      <c r="G112" s="531"/>
      <c r="H112" s="531"/>
    </row>
    <row r="113" spans="2:8" s="482" customFormat="1" ht="15">
      <c r="B113" s="531" t="s">
        <v>207</v>
      </c>
      <c r="C113" s="531"/>
      <c r="D113" s="531"/>
      <c r="E113" s="531"/>
      <c r="F113" s="531"/>
      <c r="G113" s="531"/>
      <c r="H113" s="531"/>
    </row>
    <row r="114" spans="2:8" s="482" customFormat="1" ht="33" customHeight="1">
      <c r="B114" s="531" t="s">
        <v>208</v>
      </c>
      <c r="C114" s="531"/>
      <c r="D114" s="531"/>
      <c r="E114" s="531"/>
      <c r="F114" s="531"/>
      <c r="G114" s="531"/>
      <c r="H114" s="531"/>
    </row>
    <row r="115" spans="2:8" s="482" customFormat="1" ht="35.25" customHeight="1">
      <c r="B115" s="531" t="s">
        <v>221</v>
      </c>
      <c r="C115" s="531"/>
      <c r="D115" s="531"/>
      <c r="E115" s="531"/>
      <c r="F115" s="531"/>
      <c r="G115" s="531"/>
      <c r="H115" s="531"/>
    </row>
    <row r="116" spans="2:8" s="482" customFormat="1" ht="15">
      <c r="B116" s="531" t="s">
        <v>209</v>
      </c>
      <c r="C116" s="531"/>
      <c r="D116" s="531"/>
      <c r="E116" s="531"/>
      <c r="F116" s="531"/>
      <c r="G116" s="531"/>
      <c r="H116" s="531"/>
    </row>
    <row r="117" spans="2:8" s="560" customFormat="1" ht="15">
      <c r="B117" s="468"/>
      <c r="C117" s="469"/>
      <c r="D117" s="468"/>
      <c r="E117" s="469"/>
      <c r="F117" s="470"/>
      <c r="G117" s="470"/>
      <c r="H117" s="468"/>
    </row>
    <row r="118" spans="1:8" s="563" customFormat="1" ht="56.25" customHeight="1">
      <c r="A118" s="561"/>
      <c r="B118" s="562" t="s">
        <v>224</v>
      </c>
      <c r="C118" s="562"/>
      <c r="D118" s="562"/>
      <c r="E118" s="562"/>
      <c r="F118" s="562"/>
      <c r="G118" s="562"/>
      <c r="H118" s="562"/>
    </row>
    <row r="119" spans="1:8" s="563" customFormat="1" ht="34.5" customHeight="1">
      <c r="A119" s="561"/>
      <c r="B119" s="564" t="s">
        <v>225</v>
      </c>
      <c r="C119" s="564"/>
      <c r="D119" s="564"/>
      <c r="E119" s="564"/>
      <c r="F119" s="564"/>
      <c r="G119" s="564"/>
      <c r="H119" s="564"/>
    </row>
    <row r="120" spans="1:8" s="563" customFormat="1" ht="69" customHeight="1">
      <c r="A120" s="561"/>
      <c r="B120" s="564" t="s">
        <v>226</v>
      </c>
      <c r="C120" s="564"/>
      <c r="D120" s="564"/>
      <c r="E120" s="564"/>
      <c r="F120" s="564"/>
      <c r="G120" s="564"/>
      <c r="H120" s="564"/>
    </row>
    <row r="121" spans="1:8" s="563" customFormat="1" ht="65.25" customHeight="1">
      <c r="A121" s="561"/>
      <c r="B121" s="564" t="s">
        <v>230</v>
      </c>
      <c r="C121" s="564"/>
      <c r="D121" s="564"/>
      <c r="E121" s="564"/>
      <c r="F121" s="564"/>
      <c r="G121" s="564"/>
      <c r="H121" s="564"/>
    </row>
    <row r="122" spans="1:8" s="563" customFormat="1" ht="62.25" customHeight="1">
      <c r="A122" s="561"/>
      <c r="B122" s="564" t="s">
        <v>227</v>
      </c>
      <c r="C122" s="564"/>
      <c r="D122" s="564"/>
      <c r="E122" s="564"/>
      <c r="F122" s="564"/>
      <c r="G122" s="564"/>
      <c r="H122" s="564"/>
    </row>
    <row r="123" spans="1:8" s="563" customFormat="1" ht="47.25" customHeight="1">
      <c r="A123" s="561"/>
      <c r="B123" s="564" t="s">
        <v>228</v>
      </c>
      <c r="C123" s="564"/>
      <c r="D123" s="564"/>
      <c r="E123" s="564"/>
      <c r="F123" s="564"/>
      <c r="G123" s="564"/>
      <c r="H123" s="564"/>
    </row>
    <row r="124" spans="2:8" s="482" customFormat="1" ht="15">
      <c r="B124" s="556"/>
      <c r="D124" s="556"/>
      <c r="E124" s="557"/>
      <c r="F124" s="558"/>
      <c r="G124" s="558"/>
      <c r="H124" s="556"/>
    </row>
    <row r="125" spans="2:8" s="482" customFormat="1" ht="15">
      <c r="B125" s="556"/>
      <c r="D125" s="556"/>
      <c r="E125" s="557"/>
      <c r="F125" s="558"/>
      <c r="G125" s="558"/>
      <c r="H125" s="556"/>
    </row>
    <row r="126" spans="2:8" s="482" customFormat="1" ht="15">
      <c r="B126" s="556"/>
      <c r="D126" s="556"/>
      <c r="E126" s="557"/>
      <c r="F126" s="558"/>
      <c r="G126" s="558"/>
      <c r="H126" s="556"/>
    </row>
    <row r="127" spans="2:8" s="482" customFormat="1" ht="15">
      <c r="B127" s="556"/>
      <c r="D127" s="556"/>
      <c r="E127" s="557"/>
      <c r="F127" s="558"/>
      <c r="G127" s="558"/>
      <c r="H127" s="556"/>
    </row>
    <row r="128" spans="2:8" s="482" customFormat="1" ht="15">
      <c r="B128" s="556"/>
      <c r="D128" s="556"/>
      <c r="E128" s="557"/>
      <c r="F128" s="558"/>
      <c r="G128" s="558"/>
      <c r="H128" s="556"/>
    </row>
    <row r="129" spans="2:8" s="482" customFormat="1" ht="15">
      <c r="B129" s="556"/>
      <c r="D129" s="556"/>
      <c r="E129" s="557"/>
      <c r="F129" s="558"/>
      <c r="G129" s="558"/>
      <c r="H129" s="556"/>
    </row>
  </sheetData>
  <sheetProtection/>
  <mergeCells count="90">
    <mergeCell ref="F22:G22"/>
    <mergeCell ref="F44:G44"/>
    <mergeCell ref="F45:G45"/>
    <mergeCell ref="F36:G36"/>
    <mergeCell ref="B37:H38"/>
    <mergeCell ref="F47:G47"/>
    <mergeCell ref="F87:G87"/>
    <mergeCell ref="F88:G88"/>
    <mergeCell ref="B121:H121"/>
    <mergeCell ref="B122:H122"/>
    <mergeCell ref="B123:H123"/>
    <mergeCell ref="B115:H115"/>
    <mergeCell ref="B116:H116"/>
    <mergeCell ref="B119:H119"/>
    <mergeCell ref="B120:H120"/>
    <mergeCell ref="B118:H118"/>
    <mergeCell ref="F20:G20"/>
    <mergeCell ref="A18:H18"/>
    <mergeCell ref="F28:G28"/>
    <mergeCell ref="F49:G49"/>
    <mergeCell ref="B111:H111"/>
    <mergeCell ref="F84:G84"/>
    <mergeCell ref="B110:H110"/>
    <mergeCell ref="F26:G26"/>
    <mergeCell ref="F29:G29"/>
    <mergeCell ref="F30:G30"/>
    <mergeCell ref="F31:G31"/>
    <mergeCell ref="F42:G42"/>
    <mergeCell ref="F32:G32"/>
    <mergeCell ref="F33:G33"/>
    <mergeCell ref="F34:G34"/>
    <mergeCell ref="F35:G35"/>
    <mergeCell ref="B114:H114"/>
    <mergeCell ref="F41:G41"/>
    <mergeCell ref="F68:G68"/>
    <mergeCell ref="F73:G73"/>
    <mergeCell ref="B112:H112"/>
    <mergeCell ref="B113:H113"/>
    <mergeCell ref="F52:G52"/>
    <mergeCell ref="A1:H1"/>
    <mergeCell ref="A2:H2"/>
    <mergeCell ref="F4:H6"/>
    <mergeCell ref="F9:H9"/>
    <mergeCell ref="A16:H16"/>
    <mergeCell ref="F23:G23"/>
    <mergeCell ref="F10:H10"/>
    <mergeCell ref="F11:H11"/>
    <mergeCell ref="A14:A15"/>
    <mergeCell ref="B14:H14"/>
    <mergeCell ref="B15:H15"/>
    <mergeCell ref="F27:G27"/>
    <mergeCell ref="F24:G24"/>
    <mergeCell ref="F25:G25"/>
    <mergeCell ref="A17:H17"/>
    <mergeCell ref="F43:G43"/>
    <mergeCell ref="F46:G46"/>
    <mergeCell ref="F48:G48"/>
    <mergeCell ref="F50:G50"/>
    <mergeCell ref="F51:G51"/>
    <mergeCell ref="F53:G53"/>
    <mergeCell ref="F54:G54"/>
    <mergeCell ref="F55:G55"/>
    <mergeCell ref="F65:G65"/>
    <mergeCell ref="F56:G56"/>
    <mergeCell ref="F57:G57"/>
    <mergeCell ref="F58:G58"/>
    <mergeCell ref="F59:G59"/>
    <mergeCell ref="F60:G60"/>
    <mergeCell ref="F61:G61"/>
    <mergeCell ref="F80:G80"/>
    <mergeCell ref="F62:G62"/>
    <mergeCell ref="F63:G63"/>
    <mergeCell ref="F64:G64"/>
    <mergeCell ref="F69:G69"/>
    <mergeCell ref="F70:G70"/>
    <mergeCell ref="F74:G74"/>
    <mergeCell ref="F75:G75"/>
    <mergeCell ref="F76:G76"/>
    <mergeCell ref="F77:G77"/>
    <mergeCell ref="F78:G78"/>
    <mergeCell ref="F79:G79"/>
    <mergeCell ref="F95:G95"/>
    <mergeCell ref="F97:G97"/>
    <mergeCell ref="F98:G98"/>
    <mergeCell ref="F81:G81"/>
    <mergeCell ref="F90:G90"/>
    <mergeCell ref="F91:G91"/>
    <mergeCell ref="F92:G92"/>
    <mergeCell ref="F93:G93"/>
    <mergeCell ref="F94:G94"/>
  </mergeCells>
  <hyperlinks>
    <hyperlink ref="H13" r:id="rId1" display="http://www.ogneupor-nsk.ru                                                  "/>
  </hyperlink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запасной</dc:creator>
  <cp:keywords/>
  <dc:description/>
  <cp:lastModifiedBy>Вероника</cp:lastModifiedBy>
  <cp:lastPrinted>2009-07-06T03:24:12Z</cp:lastPrinted>
  <dcterms:created xsi:type="dcterms:W3CDTF">2008-01-09T05:33:58Z</dcterms:created>
  <dcterms:modified xsi:type="dcterms:W3CDTF">2009-07-06T03:24:57Z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